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60" windowHeight="6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'Sheet1'!$A$1:$Q$30</definedName>
  </definedNames>
  <calcPr fullCalcOnLoad="1"/>
</workbook>
</file>

<file path=xl/sharedStrings.xml><?xml version="1.0" encoding="utf-8"?>
<sst xmlns="http://schemas.openxmlformats.org/spreadsheetml/2006/main" count="21" uniqueCount="11">
  <si>
    <t>Enter Shaft Size</t>
  </si>
  <si>
    <t>Depth</t>
  </si>
  <si>
    <t>X</t>
  </si>
  <si>
    <t>__</t>
  </si>
  <si>
    <t>Additional Depth per 1/2 foot</t>
  </si>
  <si>
    <t>Pier Sizes</t>
  </si>
  <si>
    <t>Additional Depth per foot</t>
  </si>
  <si>
    <t>CF</t>
  </si>
  <si>
    <t>Shaft Diameters: 12,14,16,18,20,22,24,28,30,36,42, 48, 54, and 60 inch diameters.</t>
  </si>
  <si>
    <t>*These chart deal with 45 degree underramed footing which is a widely adopted series</t>
  </si>
  <si>
    <t>Note: It DOES NOT account for voids in the soil, varaiations in tool designs, variations of pan &amp; toe depths, or reinforcing being in placed in the hole.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</si>
</sst>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PageLayoutView="0" workbookViewId="0" topLeftCell="A1">
      <selection activeCell="U16" sqref="U16"/>
    </sheetView>
  </sheetViews>
  <sheetFormatPr defaultColWidth="9.140625" defaultRowHeight="12.75"/>
  <cols>
    <col min="1" max="1" width="3.57421875" style="2" customWidth="1"/>
    <col min="2" max="2" width="2.00390625" style="1" bestFit="1" customWidth="1"/>
    <col min="3" max="3" width="5.7109375" style="2" customWidth="1"/>
    <col min="4" max="4" width="3.8515625" style="0" customWidth="1"/>
    <col min="5" max="12" width="5.8515625" style="0" customWidth="1"/>
    <col min="13" max="13" width="5.7109375" style="0" customWidth="1"/>
    <col min="14" max="17" width="5.8515625" style="0" customWidth="1"/>
  </cols>
  <sheetData>
    <row r="1" spans="1:17" s="10" customFormat="1" ht="12.75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s="10" customFormat="1" ht="26.25" customHeight="1">
      <c r="A2" s="29" t="s">
        <v>10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4" spans="1:17" ht="12.75">
      <c r="A4" s="20" t="s">
        <v>0</v>
      </c>
      <c r="B4" s="20"/>
      <c r="C4" s="1"/>
      <c r="E4" s="25">
        <v>60</v>
      </c>
      <c r="F4" s="6">
        <f>E4</f>
        <v>60</v>
      </c>
      <c r="G4" s="5">
        <f>E4</f>
        <v>60</v>
      </c>
      <c r="H4" s="6">
        <f>E4</f>
        <v>60</v>
      </c>
      <c r="I4" s="6">
        <f>E4</f>
        <v>60</v>
      </c>
      <c r="J4" s="6">
        <f>E4</f>
        <v>60</v>
      </c>
      <c r="K4" s="6">
        <f>E4</f>
        <v>60</v>
      </c>
      <c r="L4" s="6">
        <f>E4</f>
        <v>60</v>
      </c>
      <c r="M4" s="6">
        <f>E4</f>
        <v>60</v>
      </c>
      <c r="N4" s="6">
        <f>E4</f>
        <v>60</v>
      </c>
      <c r="O4" s="6">
        <f>E4</f>
        <v>60</v>
      </c>
      <c r="P4" s="6">
        <f>E4</f>
        <v>60</v>
      </c>
      <c r="Q4" s="6">
        <f>E4</f>
        <v>60</v>
      </c>
    </row>
    <row r="5" spans="1:19" s="10" customFormat="1" ht="12.75">
      <c r="A5" s="27" t="s">
        <v>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8"/>
      <c r="R5" s="9"/>
      <c r="S5" s="9"/>
    </row>
    <row r="6" spans="1:19" s="10" customFormat="1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3"/>
      <c r="R6" s="9"/>
      <c r="S6" s="9"/>
    </row>
    <row r="7" spans="1:17" ht="12">
      <c r="A7" s="12"/>
      <c r="B7" s="11"/>
      <c r="C7" s="12"/>
      <c r="D7" s="3"/>
      <c r="E7" s="3"/>
      <c r="F7" s="2"/>
      <c r="G7" s="22" t="s">
        <v>6</v>
      </c>
      <c r="H7" s="4">
        <f>IF(E4=12,0.79)+IF(E4=14,1.07)+IF(E4=16,1.4)+IF(E4=18,1.77)+IF(E4=20,2.18)+IF(E4=22,2.64)+IF(E4=24,3.14)+IF(E4=28,4.28)+IF(E4=30,4.91)+IF(E4=36,7.07)+IF(E4=42,9.62)+IF(E4=48,12.57)+IF(E4=54,15.89)+IF(E4=60,19.62)</f>
        <v>19.62</v>
      </c>
      <c r="I7" s="23" t="s">
        <v>7</v>
      </c>
      <c r="J7" s="3"/>
      <c r="K7" s="3"/>
      <c r="L7" s="3"/>
      <c r="M7" s="3"/>
      <c r="N7" s="3"/>
      <c r="O7" s="22" t="s">
        <v>4</v>
      </c>
      <c r="P7" s="4">
        <f>0.5*H7</f>
        <v>9.81</v>
      </c>
      <c r="Q7" s="24" t="s">
        <v>7</v>
      </c>
    </row>
    <row r="8" spans="1:17" s="7" customFormat="1" ht="12.75">
      <c r="A8" s="16"/>
      <c r="B8" s="16"/>
      <c r="C8" s="14"/>
      <c r="D8" s="21" t="s">
        <v>1</v>
      </c>
      <c r="E8" s="13">
        <v>6</v>
      </c>
      <c r="F8" s="13">
        <v>7</v>
      </c>
      <c r="G8" s="13">
        <v>8</v>
      </c>
      <c r="H8" s="13">
        <v>9</v>
      </c>
      <c r="I8" s="13">
        <v>10</v>
      </c>
      <c r="J8" s="13">
        <v>11</v>
      </c>
      <c r="K8" s="13">
        <v>12</v>
      </c>
      <c r="L8" s="13">
        <v>13</v>
      </c>
      <c r="M8" s="13">
        <v>14</v>
      </c>
      <c r="N8" s="13">
        <v>15</v>
      </c>
      <c r="O8" s="13">
        <v>16</v>
      </c>
      <c r="P8" s="13">
        <v>17</v>
      </c>
      <c r="Q8" s="13">
        <v>18</v>
      </c>
    </row>
    <row r="9" spans="1:4" ht="12.75">
      <c r="A9" s="26" t="s">
        <v>5</v>
      </c>
      <c r="B9" s="26"/>
      <c r="C9" s="26"/>
      <c r="D9" s="15"/>
    </row>
    <row r="10" spans="1:17" ht="12" customHeight="1">
      <c r="A10" s="18">
        <f>E4</f>
        <v>60</v>
      </c>
      <c r="B10" s="17" t="s">
        <v>2</v>
      </c>
      <c r="C10" s="18" t="s">
        <v>3</v>
      </c>
      <c r="D10" s="15"/>
      <c r="E10" s="19">
        <f aca="true" t="shared" si="0" ref="E10:Q10">IF(E4=12,E8*0.79)+IF(E4=14,E8*1.07)+IF(E4=16,E8*1.4)+IF(E4=18,E8*1.77)+IF(E4=20,E8*2.18)+IF(E4=22,E8*2.64)+IF(E4=24,E8*3.14)+IF(E4=28,E8*4.28)+IF(E4=30,E8*4.91)+IF(E4=36,E8*7.07)+IF(E4=42,E8*9.62)+IF(E4=48,E8*12.57)+IF(E4=54,E8*15.89)+IF(E4=60,E8*19.62)</f>
        <v>117.72</v>
      </c>
      <c r="F10" s="19">
        <f t="shared" si="0"/>
        <v>137.34</v>
      </c>
      <c r="G10" s="19">
        <f t="shared" si="0"/>
        <v>156.96</v>
      </c>
      <c r="H10" s="19">
        <f t="shared" si="0"/>
        <v>176.58</v>
      </c>
      <c r="I10" s="19">
        <f t="shared" si="0"/>
        <v>196.20000000000002</v>
      </c>
      <c r="J10" s="19">
        <f t="shared" si="0"/>
        <v>215.82000000000002</v>
      </c>
      <c r="K10" s="19">
        <f t="shared" si="0"/>
        <v>235.44</v>
      </c>
      <c r="L10" s="19">
        <f t="shared" si="0"/>
        <v>255.06</v>
      </c>
      <c r="M10" s="19">
        <f t="shared" si="0"/>
        <v>274.68</v>
      </c>
      <c r="N10" s="19">
        <f t="shared" si="0"/>
        <v>294.3</v>
      </c>
      <c r="O10" s="19">
        <f t="shared" si="0"/>
        <v>313.92</v>
      </c>
      <c r="P10" s="19">
        <f t="shared" si="0"/>
        <v>333.54</v>
      </c>
      <c r="Q10" s="19">
        <f t="shared" si="0"/>
        <v>353.16</v>
      </c>
    </row>
    <row r="11" spans="1:17" ht="12" customHeight="1">
      <c r="A11" s="18">
        <f>E4</f>
        <v>60</v>
      </c>
      <c r="B11" s="17" t="s">
        <v>2</v>
      </c>
      <c r="C11" s="18">
        <f>IF(A11=12,20)+IF(A11=14,20)+IF(A11=16,20)+IF(A11=18,20)+IF(A11=20,22)+IF(A11=22,24)+IF(A11=24,26)+IF(A11=28,30)+IF(A11=30,32)+IF(A11=36,40)+IF(A11=42,44)+IF(A11=48,50)+IF(A11=54,78)+IF(A11=60,84)</f>
        <v>84</v>
      </c>
      <c r="D11" s="15"/>
      <c r="E11" s="19">
        <f aca="true" t="shared" si="1" ref="E11:Q11">IF(E4=12,4.55+((E8-4)*0.79))+IF(E4=14,5.7+((E8-4)*1.07))+IF(E4=16,7+((E8-4)*1.4))+IF(E4=18,8.41+((E8-4)*1.77))+IF(E4=20,10.35+((E8-4)*2.18))+IF(E4=22,12.49+((E8-4)*2.64))+IF(E4=24,18+((E8-5)*3.14))+IF(E4=28,24.46+((E8-5)*4.28))+IF(E4=30,28.08+((E8-5)*4.91))+IF(E4=36,41.89+((E8-5)*7.07))+IF(E4=42,54.88+((E8-5)*9.62))+IF(E4=48,71.66+((E8-5)*12.57))+IF(E4=54,140.34+((E8-6)*15.89))+IF(E4=60,171.72+((E8-6)*19.62))</f>
        <v>171.72</v>
      </c>
      <c r="F11" s="19">
        <f t="shared" si="1"/>
        <v>191.34</v>
      </c>
      <c r="G11" s="19">
        <f t="shared" si="1"/>
        <v>210.96</v>
      </c>
      <c r="H11" s="19">
        <f t="shared" si="1"/>
        <v>230.57999999999998</v>
      </c>
      <c r="I11" s="19">
        <f t="shared" si="1"/>
        <v>250.2</v>
      </c>
      <c r="J11" s="19">
        <f t="shared" si="1"/>
        <v>269.82</v>
      </c>
      <c r="K11" s="19">
        <f t="shared" si="1"/>
        <v>289.44</v>
      </c>
      <c r="L11" s="19">
        <f t="shared" si="1"/>
        <v>309.06</v>
      </c>
      <c r="M11" s="19">
        <f t="shared" si="1"/>
        <v>328.68</v>
      </c>
      <c r="N11" s="19">
        <f t="shared" si="1"/>
        <v>348.3</v>
      </c>
      <c r="O11" s="19">
        <f t="shared" si="1"/>
        <v>367.92</v>
      </c>
      <c r="P11" s="19">
        <f t="shared" si="1"/>
        <v>387.54</v>
      </c>
      <c r="Q11" s="19">
        <f t="shared" si="1"/>
        <v>407.15999999999997</v>
      </c>
    </row>
    <row r="12" spans="1:17" ht="12" customHeight="1">
      <c r="A12" s="18">
        <f>E4</f>
        <v>60</v>
      </c>
      <c r="B12" s="17" t="s">
        <v>2</v>
      </c>
      <c r="C12" s="18">
        <f>IF(A12=12,22)+IF(A12=14,22)+IF(A12=16,22)+IF(A12=18,22)+IF(A12=20,24)+IF(A12=22,26)+IF(A12=24,28)+IF(A12=28,32)+IF(A12=30,34)+IF(A12=36,42)+IF(A12=42,46)+IF(A12=48,52)+IF(A12=54,84)+IF(A12=60,90)</f>
        <v>90</v>
      </c>
      <c r="D12" s="15"/>
      <c r="E12" s="19">
        <f aca="true" t="shared" si="2" ref="E12:Q12">IF(E4=12,4.86+((E8-4)*0.79))+IF(E4=14,6.05+((E8-4)*1.07))+IF(E4=16,7.4+((E8-4)*1.4))+IF(E4=18,8.88+((E8-4)*1.77))+IF(E4=20,10.92+((E8-4)*2.18))+IF(E4=22,13.15+((E8-4)*2.64))+IF(E4=24,18.67+((E8-5)*3.14))+IF(E4=28,25.44+((E8-5)*4.28))+IF(E4=30,29.19+((E8-5)*4.91))+IF(E4=36,43.48+((E8-5)*7.07))+IF(E4=42,56.89+((E8-5)*9.62))+IF(E4=48,74.22+((E8-5)*12.57))+IF(E4=54,153.34+((E8-6)*15.89))+IF(E4=60,187.72+((E8-6)*19.62))</f>
        <v>187.72</v>
      </c>
      <c r="F12" s="19">
        <f t="shared" si="2"/>
        <v>207.34</v>
      </c>
      <c r="G12" s="19">
        <f t="shared" si="2"/>
        <v>226.96</v>
      </c>
      <c r="H12" s="19">
        <f t="shared" si="2"/>
        <v>246.57999999999998</v>
      </c>
      <c r="I12" s="19">
        <f t="shared" si="2"/>
        <v>266.2</v>
      </c>
      <c r="J12" s="19">
        <f t="shared" si="2"/>
        <v>285.82</v>
      </c>
      <c r="K12" s="19">
        <f t="shared" si="2"/>
        <v>305.44</v>
      </c>
      <c r="L12" s="19">
        <f t="shared" si="2"/>
        <v>325.06</v>
      </c>
      <c r="M12" s="19">
        <f t="shared" si="2"/>
        <v>344.68</v>
      </c>
      <c r="N12" s="19">
        <f t="shared" si="2"/>
        <v>364.3</v>
      </c>
      <c r="O12" s="19">
        <f t="shared" si="2"/>
        <v>383.92</v>
      </c>
      <c r="P12" s="19">
        <f t="shared" si="2"/>
        <v>403.54</v>
      </c>
      <c r="Q12" s="19">
        <f t="shared" si="2"/>
        <v>423.15999999999997</v>
      </c>
    </row>
    <row r="13" spans="1:17" ht="12" customHeight="1">
      <c r="A13" s="18">
        <f>E4</f>
        <v>60</v>
      </c>
      <c r="B13" s="17" t="s">
        <v>2</v>
      </c>
      <c r="C13" s="18">
        <f>IF(A13=12,24)+IF(A13=14,24)+IF(A13=16,24)+IF(A13=18,24)+IF(A13=20,26)+IF(A13=22,28)+IF(A13=24,30)+IF(A13=28,34)+IF(A13=30,36)+IF(A13=36,44)+IF(A13=42,48)+IF(A13=48,54)+IF(A13=54,90)+IF(A13=60,96)</f>
        <v>96</v>
      </c>
      <c r="D13" s="15"/>
      <c r="E13" s="19">
        <f aca="true" t="shared" si="3" ref="E13:Q13">IF(E4=12,5.19+((E8-4)*0.79))+IF(E4=14,6.42+((E8-4)*1.07))+IF(E4=16,7.82+((E8-4)*1.4))+IF(E4=18,9.4+((E8-4)*1.77))+IF(E4=20,11.52+((E8-4)*2.18))+IF(E4=22,13.86+((E8-4)*2.64))+IF(E4=24,19.57+((E8-5)*3.14))+IF(E4=28,26.48+((E8-5)*4.28))+IF(E4=30,30.36+((E8-5)*4.91))+IF(E4=36,45.12+((E8-5)*7.07))+IF(E4=42,59.42+((E8-5)*9.62))+IF(E4=48,76.83+((E8-5)*12.57))+IF(E4=54,167.34+((E8-6)*15.89))+IF(E4=60,204.72+((E8-6)*19.62))</f>
        <v>204.72</v>
      </c>
      <c r="F13" s="19">
        <f t="shared" si="3"/>
        <v>224.34</v>
      </c>
      <c r="G13" s="19">
        <f t="shared" si="3"/>
        <v>243.96</v>
      </c>
      <c r="H13" s="19">
        <f t="shared" si="3"/>
        <v>263.58</v>
      </c>
      <c r="I13" s="19">
        <f t="shared" si="3"/>
        <v>283.2</v>
      </c>
      <c r="J13" s="19">
        <f t="shared" si="3"/>
        <v>302.82</v>
      </c>
      <c r="K13" s="19">
        <f t="shared" si="3"/>
        <v>322.44</v>
      </c>
      <c r="L13" s="19">
        <f t="shared" si="3"/>
        <v>342.06</v>
      </c>
      <c r="M13" s="19">
        <f t="shared" si="3"/>
        <v>361.68</v>
      </c>
      <c r="N13" s="19">
        <f t="shared" si="3"/>
        <v>381.3</v>
      </c>
      <c r="O13" s="19">
        <f t="shared" si="3"/>
        <v>400.92</v>
      </c>
      <c r="P13" s="19">
        <f t="shared" si="3"/>
        <v>420.54</v>
      </c>
      <c r="Q13" s="19">
        <f t="shared" si="3"/>
        <v>440.15999999999997</v>
      </c>
    </row>
    <row r="14" spans="1:17" ht="12" customHeight="1">
      <c r="A14" s="18">
        <f>E4</f>
        <v>60</v>
      </c>
      <c r="B14" s="17" t="s">
        <v>2</v>
      </c>
      <c r="C14" s="18">
        <f>IF(A14=12,26)+IF(A14=14,26)+IF(A14=16,26)+IF(A14=18,26)+IF(A14=20,28)+IF(A14=22,30)+IF(A14=24,32)+IF(A14=28,36)+IF(A14=30,38)+IF(A14=36,46)+IF(A14=42,50)+IF(A14=48,56)+IF(A14=54,96)+IF(A14=60,102)</f>
        <v>102</v>
      </c>
      <c r="D14" s="15"/>
      <c r="E14" s="19">
        <f aca="true" t="shared" si="4" ref="E14:Q14">IF(E4=12,5.55+((E8-4)*0.79))+IF(E4=14,6.83+((E8-4)*1.07))+IF(E4=16,8.28+((E8-4)*1.4))+IF(E4=18,9.95+((E8-4)*1.77))+IF(E4=20,12.17+((E8-4)*2.18))+IF(E4=22,14.6+((E8-4)*2.64))+IF(E4=24,20.42+((E8-5)*3.14))+IF(E4=28,27.57+((E8-5)*4.28))+IF(E4=30,31.57+((E8-5)*4.91))+IF(E4=36,46.83+((E8-5)*7.07))+IF(E4=42,61.1+((E8-5)*9.62))+IF(E4=48,79.53+((E8-5)*12.57))+IF(E4=54,182.34+((E8-6)*15.89))+IF(E4=60,221.72+((E8-6)*19.62))</f>
        <v>221.72</v>
      </c>
      <c r="F14" s="19">
        <f t="shared" si="4"/>
        <v>241.34</v>
      </c>
      <c r="G14" s="19">
        <f t="shared" si="4"/>
        <v>260.96</v>
      </c>
      <c r="H14" s="19">
        <f t="shared" si="4"/>
        <v>280.58</v>
      </c>
      <c r="I14" s="19">
        <f t="shared" si="4"/>
        <v>300.2</v>
      </c>
      <c r="J14" s="19">
        <f t="shared" si="4"/>
        <v>319.82</v>
      </c>
      <c r="K14" s="19">
        <f t="shared" si="4"/>
        <v>339.44</v>
      </c>
      <c r="L14" s="19">
        <f t="shared" si="4"/>
        <v>359.06</v>
      </c>
      <c r="M14" s="19">
        <f t="shared" si="4"/>
        <v>378.68</v>
      </c>
      <c r="N14" s="19">
        <f t="shared" si="4"/>
        <v>398.3</v>
      </c>
      <c r="O14" s="19">
        <f t="shared" si="4"/>
        <v>417.92</v>
      </c>
      <c r="P14" s="19">
        <f t="shared" si="4"/>
        <v>437.54</v>
      </c>
      <c r="Q14" s="19">
        <f t="shared" si="4"/>
        <v>457.15999999999997</v>
      </c>
    </row>
    <row r="15" spans="1:19" ht="12" customHeight="1">
      <c r="A15" s="18">
        <f>E4</f>
        <v>60</v>
      </c>
      <c r="B15" s="17" t="s">
        <v>2</v>
      </c>
      <c r="C15" s="18">
        <f>IF(A15=12,28)+IF(A15=14,28)+IF(A15=16,28)+IF(A15=18,28)+IF(A15=20,30)+IF(A15=22,32)+IF(A15=24,34)+IF(A15=28,38)+IF(A15=30,40)+IF(A15=36,48)+IF(A15=42,52)+IF(A15=48,58)+IF(A15=54,102)+IF(A15=60,108)</f>
        <v>108</v>
      </c>
      <c r="D15" s="15"/>
      <c r="E15" s="19">
        <f aca="true" t="shared" si="5" ref="E15:Q15">IF(E4=12,5.94+((E8-4)*0.79))+IF(E4=14,7.27+((E8-4)*1.07))+IF(E4=16,8.77+((E8-4)*1.4))+IF(E4=18,10.55+((E8-4)*1.77))+IF(E4=20,12.85+((E8-4)*2.18))+IF(E4=22,15.38+((E8-4)*2.64))+IF(E4=24,21.31+((E8-5)*3.14))+IF(E4=28,28.71+((E8-5)*4.28))+IF(E4=30,32.84+((E8-5)*4.91))+IF(E4=36,48.58+((E8-5)*7.07))+IF(E4=42,63.3+((E8-5)*9.62))+IF(E4=48,82.31+((E8-5)*12.57))+IF(E4=54,198.34+((E8-6)*15.89))+IF(E4=60,239.72+((E8-6)*19.62))</f>
        <v>239.72</v>
      </c>
      <c r="F15" s="19">
        <f t="shared" si="5"/>
        <v>259.34</v>
      </c>
      <c r="G15" s="19">
        <f t="shared" si="5"/>
        <v>278.96</v>
      </c>
      <c r="H15" s="19">
        <f t="shared" si="5"/>
        <v>298.58</v>
      </c>
      <c r="I15" s="19">
        <f t="shared" si="5"/>
        <v>318.2</v>
      </c>
      <c r="J15" s="19">
        <f t="shared" si="5"/>
        <v>337.82</v>
      </c>
      <c r="K15" s="19">
        <f t="shared" si="5"/>
        <v>357.44</v>
      </c>
      <c r="L15" s="19">
        <f t="shared" si="5"/>
        <v>377.06</v>
      </c>
      <c r="M15" s="19">
        <f t="shared" si="5"/>
        <v>396.68</v>
      </c>
      <c r="N15" s="19">
        <f t="shared" si="5"/>
        <v>416.3</v>
      </c>
      <c r="O15" s="19">
        <f t="shared" si="5"/>
        <v>435.92</v>
      </c>
      <c r="P15" s="19">
        <f t="shared" si="5"/>
        <v>455.54</v>
      </c>
      <c r="Q15" s="19">
        <f t="shared" si="5"/>
        <v>475.15999999999997</v>
      </c>
      <c r="S15" s="19"/>
    </row>
    <row r="16" spans="1:17" ht="12" customHeight="1">
      <c r="A16" s="18">
        <f>E4</f>
        <v>60</v>
      </c>
      <c r="B16" s="17" t="s">
        <v>2</v>
      </c>
      <c r="C16" s="18">
        <f>IF(A16=12,30)+IF(A16=14,30)+IF(A16=16,30)+IF(A16=18,30)+IF(A16=20,32)+IF(A16=22,34)+IF(A16=24,36)+IF(A16=28,40)+IF(A16=30,42)+IF(A16=36,50)+IF(A16=42,54)+IF(A16=48,60)+IF(A16=54,108)+IF(A16=60,114)</f>
        <v>114</v>
      </c>
      <c r="D16" s="15"/>
      <c r="E16" s="19">
        <f aca="true" t="shared" si="6" ref="E16:Q16">IF(E4=12,6.36+((E8-4)*0.79))+IF(E4=14,7.74+((E8-4)*1.07))+IF(E4=16,9.28+((E8-4)*1.4))+IF(E4=18,11.17+((E8-4)*1.77))+IF(E4=20,13.57+((E8-4)*2.18))+IF(E4=22,16.21+((E8-4)*2.64))+IF(E4=24,22.26+((E8-5)*3.14))+IF(E4=28,29.89+((E8-5)*4.28))+IF(E4=30,34.15+((E8-5)*4.91))+IF(E4=36,50.4+((E8-5)*7.07))+IF(E4=42,65.57+((E8-5)*9.62))+IF(E4=48,85.14+((E8-5)*12.57))+IF(E4=54,214.34+((E8-6)*15.89))+IF(E4=60,258.72+((E8-6)*19.62))</f>
        <v>258.72</v>
      </c>
      <c r="F16" s="19">
        <f t="shared" si="6"/>
        <v>278.34000000000003</v>
      </c>
      <c r="G16" s="19">
        <f t="shared" si="6"/>
        <v>297.96000000000004</v>
      </c>
      <c r="H16" s="19">
        <f t="shared" si="6"/>
        <v>317.58000000000004</v>
      </c>
      <c r="I16" s="19">
        <f t="shared" si="6"/>
        <v>337.20000000000005</v>
      </c>
      <c r="J16" s="19">
        <f t="shared" si="6"/>
        <v>356.82000000000005</v>
      </c>
      <c r="K16" s="19">
        <f t="shared" si="6"/>
        <v>376.44000000000005</v>
      </c>
      <c r="L16" s="19">
        <f t="shared" si="6"/>
        <v>396.06000000000006</v>
      </c>
      <c r="M16" s="19">
        <f t="shared" si="6"/>
        <v>415.68000000000006</v>
      </c>
      <c r="N16" s="19">
        <f t="shared" si="6"/>
        <v>435.30000000000007</v>
      </c>
      <c r="O16" s="19">
        <f t="shared" si="6"/>
        <v>454.9200000000001</v>
      </c>
      <c r="P16" s="19">
        <f t="shared" si="6"/>
        <v>474.5400000000001</v>
      </c>
      <c r="Q16" s="19">
        <f t="shared" si="6"/>
        <v>494.16</v>
      </c>
    </row>
    <row r="17" spans="1:17" ht="12" customHeight="1">
      <c r="A17" s="18">
        <f>E4</f>
        <v>60</v>
      </c>
      <c r="B17" s="17" t="s">
        <v>2</v>
      </c>
      <c r="C17" s="18">
        <f>IF(A17=12,32)+IF(A17=14,32)+IF(A17=16,32)+IF(A17=18,32)+IF(A17=20,34)+IF(A17=22,36)+IF(A17=24,38)+IF(A17=28,42)+IF(A17=30,44)+IF(A17=36,52)+IF(A17=42,56)+IF(A17=48,62)+IF(A17=54,114)+IF(A17=60,120)</f>
        <v>120</v>
      </c>
      <c r="D17" s="15"/>
      <c r="E17" s="19">
        <f aca="true" t="shared" si="7" ref="E17:Q17">IF(E4=12,6.8+((E8-4)*0.79))+IF(E4=14,8.23+((E8-4)*1.07))+IF(E4=16,9.83+((E8-4)*1.4))+IF(E4=18,11.83+((E8-4)*1.77))+IF(E4=20,14.33+((E8-4)*2.18))+IF(E4=22,17.08+((E8-4)*2.64))+IF(E4=24,23.24+((E8-5)*3.14))+IF(E4=28,31.12+((E8-5)*4.28))+IF(E4=30,35.52+((E8-5)*4.91))+IF(E4=36,52.28+((E8-5)*7.07))+IF(E4=42,67.9+((E8-5)*9.62))+IF(E4=48,88.07+((E8-5)*12.57))+IF(E4=54,231.34+((E8-6)*15.89))+IF(E4=60,277.72+((E8-6)*19.62))</f>
        <v>277.72</v>
      </c>
      <c r="F17" s="19">
        <f t="shared" si="7"/>
        <v>297.34000000000003</v>
      </c>
      <c r="G17" s="19">
        <f t="shared" si="7"/>
        <v>316.96000000000004</v>
      </c>
      <c r="H17" s="19">
        <f t="shared" si="7"/>
        <v>336.58000000000004</v>
      </c>
      <c r="I17" s="19">
        <f t="shared" si="7"/>
        <v>356.20000000000005</v>
      </c>
      <c r="J17" s="19">
        <f t="shared" si="7"/>
        <v>375.82000000000005</v>
      </c>
      <c r="K17" s="19">
        <f t="shared" si="7"/>
        <v>395.44000000000005</v>
      </c>
      <c r="L17" s="19">
        <f t="shared" si="7"/>
        <v>415.06000000000006</v>
      </c>
      <c r="M17" s="19">
        <f t="shared" si="7"/>
        <v>434.68000000000006</v>
      </c>
      <c r="N17" s="19">
        <f t="shared" si="7"/>
        <v>454.30000000000007</v>
      </c>
      <c r="O17" s="19">
        <f t="shared" si="7"/>
        <v>473.9200000000001</v>
      </c>
      <c r="P17" s="19">
        <f t="shared" si="7"/>
        <v>493.5400000000001</v>
      </c>
      <c r="Q17" s="19">
        <f t="shared" si="7"/>
        <v>513.1600000000001</v>
      </c>
    </row>
    <row r="18" spans="1:17" ht="12" customHeight="1">
      <c r="A18" s="18">
        <f>E4</f>
        <v>60</v>
      </c>
      <c r="B18" s="17" t="s">
        <v>2</v>
      </c>
      <c r="C18" s="18">
        <f>IF(A18=12,34)+IF(A18=14,34)+IF(A18=16,34)+IF(A18=18,34)+IF(A18=20,36)+IF(A18=22,38)+IF(A18=24,40)+IF(A18=28,44)+IF(A18=30,46)+IF(A18=36,54)+IF(A18=42,58)+IF(A18=48,64)+IF(A18=54,120)+IF(A18=60,126)</f>
        <v>126</v>
      </c>
      <c r="D18" s="15"/>
      <c r="E18" s="19">
        <f aca="true" t="shared" si="8" ref="E18:Q18">IF(E4=12,7.26+((E8-4)*0.79))+IF(E4=14,8.75+((E8-4)*1.07))+IF(E4=16,10.41+((E8-4)*1.4))+IF(E4=18,12.53+((E8-4)*1.77))+IF(E4=20,15.14+((E8-4)*2.18))+IF(E4=22,17.99+((E8-4)*2.64))+IF(E4=24,24.26+((E8-5)*3.14))+IF(E4=28,32.4+((E8-5)*4.28))+IF(E4=30,36.94+((E8-5)*4.91))+IF(E4=36,54.21+((E8-5)*7.07))+IF(E4=42,70.31+((E8-5)*9.62))+IF(E4=48,91.06+((E8-5)*12.57))+IF(E4=54,250.34+((E8-6)*15.89))+IF(E4=60,299.72+((E8-6)*19.62))</f>
        <v>299.72</v>
      </c>
      <c r="F18" s="19">
        <f t="shared" si="8"/>
        <v>319.34000000000003</v>
      </c>
      <c r="G18" s="19">
        <f t="shared" si="8"/>
        <v>338.96000000000004</v>
      </c>
      <c r="H18" s="19">
        <f t="shared" si="8"/>
        <v>358.58000000000004</v>
      </c>
      <c r="I18" s="19">
        <f t="shared" si="8"/>
        <v>378.20000000000005</v>
      </c>
      <c r="J18" s="19">
        <f t="shared" si="8"/>
        <v>397.82000000000005</v>
      </c>
      <c r="K18" s="19">
        <f t="shared" si="8"/>
        <v>417.44000000000005</v>
      </c>
      <c r="L18" s="19">
        <f t="shared" si="8"/>
        <v>437.06000000000006</v>
      </c>
      <c r="M18" s="19">
        <f t="shared" si="8"/>
        <v>456.68000000000006</v>
      </c>
      <c r="N18" s="19">
        <f t="shared" si="8"/>
        <v>476.30000000000007</v>
      </c>
      <c r="O18" s="19">
        <f t="shared" si="8"/>
        <v>495.9200000000001</v>
      </c>
      <c r="P18" s="19">
        <f t="shared" si="8"/>
        <v>515.5400000000001</v>
      </c>
      <c r="Q18" s="19">
        <f t="shared" si="8"/>
        <v>535.1600000000001</v>
      </c>
    </row>
    <row r="19" spans="1:17" ht="11.25" customHeight="1">
      <c r="A19" s="18">
        <f>E4</f>
        <v>60</v>
      </c>
      <c r="B19" s="17" t="s">
        <v>2</v>
      </c>
      <c r="C19" s="18">
        <f>IF(A19=12,36)+IF(A19=14,36)+IF(A19=16,36)+IF(A19=18,36)+IF(A19=20,38)+IF(A19=22,40)+IF(A19=24,42)+IF(A19=28,46)+IF(A19=30,48)+IF(A19=36,56)+IF(A19=42,60)+IF(A19=48,66)+IF(A19=54,126)+IF(A19=60,132)</f>
        <v>132</v>
      </c>
      <c r="D19" s="15"/>
      <c r="E19" s="19">
        <f aca="true" t="shared" si="9" ref="E19:Q19">IF(E4=12,7.75+((E8-4)*0.79))+IF(E4=14,9.3+((E8-4)*1.07))+IF(E4=16,11.02+((E8-4)*1.4))+IF(E4=18,13.26+((E8-4)*1.77))+IF(E4=20,15.97+((E8-4)*2.18))+IF(E4=22,18.94+((E8-4)*2.64))+IF(E4=24,25.33+((E8-5)*3.14))+IF(E4=28,33.73+((E8-5)*4.28))+IF(E4=30,38.41+((E8-5)*4.91))+IF(E4=36,56.2+((E8-5)*7.07))+IF(E4=42,72.76+((E8-5)*9.62))+IF(E4=48,94.12+((E8-5)*12.57))+IF(E4=54,268.34+((E8-6)*15.89))+IF(E4=60,320.72+((E8-6)*19.62))</f>
        <v>320.72</v>
      </c>
      <c r="F19" s="19">
        <f t="shared" si="9"/>
        <v>340.34000000000003</v>
      </c>
      <c r="G19" s="19">
        <f t="shared" si="9"/>
        <v>359.96000000000004</v>
      </c>
      <c r="H19" s="19">
        <f t="shared" si="9"/>
        <v>379.58000000000004</v>
      </c>
      <c r="I19" s="19">
        <f t="shared" si="9"/>
        <v>399.20000000000005</v>
      </c>
      <c r="J19" s="19">
        <f t="shared" si="9"/>
        <v>418.82000000000005</v>
      </c>
      <c r="K19" s="19">
        <f t="shared" si="9"/>
        <v>438.44000000000005</v>
      </c>
      <c r="L19" s="19">
        <f t="shared" si="9"/>
        <v>458.06000000000006</v>
      </c>
      <c r="M19" s="19">
        <f t="shared" si="9"/>
        <v>477.68000000000006</v>
      </c>
      <c r="N19" s="19">
        <f t="shared" si="9"/>
        <v>497.30000000000007</v>
      </c>
      <c r="O19" s="19">
        <f t="shared" si="9"/>
        <v>516.9200000000001</v>
      </c>
      <c r="P19" s="19">
        <f t="shared" si="9"/>
        <v>536.5400000000001</v>
      </c>
      <c r="Q19" s="19">
        <f t="shared" si="9"/>
        <v>556.1600000000001</v>
      </c>
    </row>
    <row r="20" spans="1:17" ht="11.25" customHeight="1">
      <c r="A20" s="18">
        <f>IF(E4=12," ",E4)</f>
        <v>60</v>
      </c>
      <c r="B20" s="17" t="str">
        <f>IF(E4=12," ","X")</f>
        <v>X</v>
      </c>
      <c r="C20" s="18">
        <f>IF(E4=12," ",IF(OR(A20=14,A20=16,A20=18),38,IF(OR(A20=20,A20=22,A20=24,A20=28,A20=30,A20=36,A20=42,A20=48),C19+2,IF(OR(A20=54,A20=60),C19+6))))</f>
        <v>138</v>
      </c>
      <c r="D20" s="15"/>
      <c r="E20" s="19">
        <f>IF(E4=12,"",IF(OR(E4=18,E4=20,E4=22,E4=24),E19+(((E4/2)-2)*0.11),IF(OR(E4=14,E4=16),E19+((((E4/2)+2)*0.06)+0.03),IF(OR(E4=54,E4=60),E19+(((E4/6)+1)*2),IF(OR(E4=28,E4=30),E19+((((E4/2)-5)*0.15)+0.02),IF(OR(E4=36,E4=42),E19+((((E4/6)-2)*0.48)+0.14),IF(E4=48,97.25+((E8-5)*12.57))))))))</f>
        <v>342.72</v>
      </c>
      <c r="F20" s="19">
        <f aca="true" t="shared" si="10" ref="F20:Q20">IF(F4=12,"",IF(OR(F4=18,F4=20,F4=22,F4=24),F19+(((F4/2)-2)*0.11),IF(OR(F4=14,F4=16),F19+((((F4/2)+2)*0.06)+0.03),IF(OR(F4=54,F4=60),F19+(((F4/6)+1)*2),IF(OR(F4=28,F4=30),F19+((((F4/2)-5)*0.15)+0.02),IF(OR(F4=36,F4=42),F19+((((F4/6)-2)*0.48)+0.14),IF(F4=48,97.25+((F8-5)*12.57))))))))</f>
        <v>362.34000000000003</v>
      </c>
      <c r="G20" s="19">
        <f t="shared" si="10"/>
        <v>381.96000000000004</v>
      </c>
      <c r="H20" s="19">
        <f t="shared" si="10"/>
        <v>401.58000000000004</v>
      </c>
      <c r="I20" s="19">
        <f t="shared" si="10"/>
        <v>421.20000000000005</v>
      </c>
      <c r="J20" s="19">
        <f t="shared" si="10"/>
        <v>440.82000000000005</v>
      </c>
      <c r="K20" s="19">
        <f t="shared" si="10"/>
        <v>460.44000000000005</v>
      </c>
      <c r="L20" s="19">
        <f t="shared" si="10"/>
        <v>480.06000000000006</v>
      </c>
      <c r="M20" s="19">
        <f t="shared" si="10"/>
        <v>499.68000000000006</v>
      </c>
      <c r="N20" s="19">
        <f t="shared" si="10"/>
        <v>519.3000000000001</v>
      </c>
      <c r="O20" s="19">
        <f t="shared" si="10"/>
        <v>538.9200000000001</v>
      </c>
      <c r="P20" s="19">
        <f t="shared" si="10"/>
        <v>558.5400000000001</v>
      </c>
      <c r="Q20" s="19">
        <f t="shared" si="10"/>
        <v>578.1600000000001</v>
      </c>
    </row>
    <row r="21" spans="1:17" ht="11.25" customHeight="1">
      <c r="A21" s="18"/>
      <c r="B21" s="17" t="str">
        <f>IF(E4=12," ","X")</f>
        <v>X</v>
      </c>
      <c r="C21" s="18" t="b">
        <f>IF(E4=12," ",IF(OR(A21=14,A21=16,A21=18),40,IF(OR(A21=20,A21=22,A21=24,A21=28,A21=30,A21=36,A21=42,A21=48),C20+2,IF(OR(A21=54,A21=60),C20+6))))</f>
        <v>0</v>
      </c>
      <c r="D21" s="15"/>
      <c r="E21" s="19">
        <f>IF(E4=12,"",IF(OR(E4=54,E4=60),E20+((E4/2)-7),IF(OR(E4=14,E4=16),E20+((((E4/2)+1)*0.07)+0.04),IF(OR(E4=18,E4=20,E4=22),E20+((((E4/2)-2)*0.11)+0.04),IF(E4=24,27.6+((E8-5)*3.14),IF(OR(E4=28,E4=30),E20+((((E4/2)-4)*0.14)+0.03),IF(OR(E4=36,E4=42),E20+((((E4/6)-2)*0.5)+0.1),IF(E4=48,100.46+((E8-5)*12.57)))))))))</f>
        <v>365.72</v>
      </c>
      <c r="F21" s="19">
        <f aca="true" t="shared" si="11" ref="F21:Q21">IF(F4=12,"",IF(OR(F4=54,F4=60),F20+((F4/2)-7),IF(OR(F4=14,F4=16),F20+((((F4/2)+1)*0.07)+0.04),IF(OR(F4=18,F4=20,F4=22),F20+((((F4/2)-2)*0.11)+0.04),IF(F4=24,27.6+((F8-5)*3.14),IF(OR(F4=28,F4=30),F20+((((F4/2)-4)*0.14)+0.03),IF(OR(F4=36,F4=42),F20+((((F4/6)-2)*0.5)+0.1),IF(F4=48,100.46+((F8-5)*12.57)))))))))</f>
        <v>385.34000000000003</v>
      </c>
      <c r="G21" s="19">
        <f t="shared" si="11"/>
        <v>404.96000000000004</v>
      </c>
      <c r="H21" s="19">
        <f t="shared" si="11"/>
        <v>424.58000000000004</v>
      </c>
      <c r="I21" s="19">
        <f t="shared" si="11"/>
        <v>444.20000000000005</v>
      </c>
      <c r="J21" s="19">
        <f t="shared" si="11"/>
        <v>463.82000000000005</v>
      </c>
      <c r="K21" s="19">
        <f t="shared" si="11"/>
        <v>483.44000000000005</v>
      </c>
      <c r="L21" s="19">
        <f t="shared" si="11"/>
        <v>503.06000000000006</v>
      </c>
      <c r="M21" s="19">
        <f t="shared" si="11"/>
        <v>522.6800000000001</v>
      </c>
      <c r="N21" s="19">
        <f t="shared" si="11"/>
        <v>542.3000000000001</v>
      </c>
      <c r="O21" s="19">
        <f t="shared" si="11"/>
        <v>561.9200000000001</v>
      </c>
      <c r="P21" s="19">
        <f t="shared" si="11"/>
        <v>581.5400000000001</v>
      </c>
      <c r="Q21" s="19">
        <f t="shared" si="11"/>
        <v>601.1600000000001</v>
      </c>
    </row>
    <row r="22" spans="1:17" ht="12" customHeight="1">
      <c r="A22" s="18">
        <f>IF(E4=12," ",E4)</f>
        <v>60</v>
      </c>
      <c r="B22" s="17" t="str">
        <f>IF(E4=12," ","X")</f>
        <v>X</v>
      </c>
      <c r="C22" s="18">
        <f>IF(E4=12," ",IF(OR(A22=14,A22=16,A22=18),42,IF(OR(A22=20,A22=22,A22=24,A22=28,A22=30,A22=36,A22=42,A22=48),C21+2,IF(OR(A22=54,A22=60),C21+6))))</f>
        <v>6</v>
      </c>
      <c r="D22" s="15"/>
      <c r="E22" s="19">
        <f>IF(E4=12,"",IF(OR(E4=54,E4=60),E21+((E4/2)-5),IF(OR(E4=14,E4=16),E21+((((E4/2)+3)*0.06)+0.03),IF(OR(E4=18,E4=20),E21+((((E4/2)-1)*0.1)+0.05),IF(OR(E4=22,E4=24),E21+(((E4/2)-2)*0.12),IF(OR(E4=28,E4=30),E21+((((E4/2)-4)*0.14)+0.08),IF(OR(E4=36,E4=42),E21+((((E4/6)-2)*0.49)+0.21),IF(E4=48,103.73+((E8-5)*12.57)))))))))</f>
        <v>390.72</v>
      </c>
      <c r="F22" s="19">
        <f aca="true" t="shared" si="12" ref="F22:Q22">IF(F4=12,"",IF(OR(F4=54,F4=60),F21+((F4/2)-5),IF(OR(F4=14,F4=16),F21+((((F4/2)+3)*0.06)+0.03),IF(OR(F4=18,F4=20),F21+((((F4/2)-1)*0.1)+0.05),IF(OR(F4=22,F4=24),F21+(((F4/2)-2)*0.12),IF(OR(F4=28,F4=30),F21+((((F4/2)-4)*0.14)+0.08),IF(OR(F4=36,F4=42),F21+((((F4/6)-2)*0.49)+0.21),IF(F4=48,103.73+((F8-5)*12.57)))))))))</f>
        <v>410.34000000000003</v>
      </c>
      <c r="G22" s="19">
        <f t="shared" si="12"/>
        <v>429.96000000000004</v>
      </c>
      <c r="H22" s="19">
        <f t="shared" si="12"/>
        <v>449.58000000000004</v>
      </c>
      <c r="I22" s="19">
        <f t="shared" si="12"/>
        <v>469.20000000000005</v>
      </c>
      <c r="J22" s="19">
        <f t="shared" si="12"/>
        <v>488.82000000000005</v>
      </c>
      <c r="K22" s="19">
        <f t="shared" si="12"/>
        <v>508.44000000000005</v>
      </c>
      <c r="L22" s="19">
        <f t="shared" si="12"/>
        <v>528.0600000000001</v>
      </c>
      <c r="M22" s="19">
        <f t="shared" si="12"/>
        <v>547.6800000000001</v>
      </c>
      <c r="N22" s="19">
        <f t="shared" si="12"/>
        <v>567.3000000000001</v>
      </c>
      <c r="O22" s="19">
        <f t="shared" si="12"/>
        <v>586.9200000000001</v>
      </c>
      <c r="P22" s="19">
        <f t="shared" si="12"/>
        <v>606.5400000000001</v>
      </c>
      <c r="Q22" s="19">
        <f t="shared" si="12"/>
        <v>626.1600000000001</v>
      </c>
    </row>
    <row r="23" spans="1:17" ht="12" customHeight="1">
      <c r="A23" s="18">
        <f>IF(OR(E4=14,E4=12)," ",E4)</f>
        <v>60</v>
      </c>
      <c r="B23" s="17" t="str">
        <f>IF(OR(E4=14,E4=12)," ","X")</f>
        <v>X</v>
      </c>
      <c r="C23" s="18">
        <f>IF(OR(E4=12,E4=14)," ",IF(OR(A23=16,A23=18),44,IF(OR(A23=20,A23=22,A23=24,A23=28,A23=30,A23=36,A23=42,A23=48),C22+2,IF(OR(A23=54,A23=60),C22+6))))</f>
        <v>12</v>
      </c>
      <c r="D23" s="15"/>
      <c r="E23" s="19">
        <f>IF(OR(E4=12,E4=14),"",IF(OR(E4=54,E4=60),E22+(((E4/3)*2)-15),IF(E4=16,13.75+((E8-4)*1.4),IF(OR(E4=18,E4=20),E22+((((E4/2)-2)*0.12)+0.03),IF(OR(E4=22,E4=24),E22+((((E4/2)-3)*0.13)+0.07),IF(OR(E4=28,E4=30),E22+((((E4/2)-5)*0.16)+0.07),IF(OR(E4=36,E4=42),E22+((((E4/6)-2)*0.5)+0.23),IF(E4=48,107.09+((E8-5)*12.57)))))))))</f>
        <v>415.72</v>
      </c>
      <c r="F23" s="19">
        <f aca="true" t="shared" si="13" ref="F23:Q23">IF(OR(F4=12,F4=14),"",IF(OR(F4=54,F4=60),F22+(((F4/3)*2)-15),IF(F4=16,13.75+((F8-4)*1.4),IF(OR(F4=18,F4=20),F22+((((F4/2)-2)*0.12)+0.03),IF(OR(F4=22,F4=24),F22+((((F4/2)-3)*0.13)+0.07),IF(OR(F4=28,F4=30),F22+((((F4/2)-5)*0.16)+0.07),IF(OR(F4=36,F4=42),F22+((((F4/6)-2)*0.5)+0.23),IF(F4=48,107.09+((F8-5)*12.57)))))))))</f>
        <v>435.34000000000003</v>
      </c>
      <c r="G23" s="19">
        <f t="shared" si="13"/>
        <v>454.96000000000004</v>
      </c>
      <c r="H23" s="19">
        <f t="shared" si="13"/>
        <v>474.58000000000004</v>
      </c>
      <c r="I23" s="19">
        <f t="shared" si="13"/>
        <v>494.20000000000005</v>
      </c>
      <c r="J23" s="19">
        <f t="shared" si="13"/>
        <v>513.82</v>
      </c>
      <c r="K23" s="19">
        <f t="shared" si="13"/>
        <v>533.44</v>
      </c>
      <c r="L23" s="19">
        <f t="shared" si="13"/>
        <v>553.0600000000001</v>
      </c>
      <c r="M23" s="19">
        <f t="shared" si="13"/>
        <v>572.6800000000001</v>
      </c>
      <c r="N23" s="19">
        <f t="shared" si="13"/>
        <v>592.3000000000001</v>
      </c>
      <c r="O23" s="19">
        <f t="shared" si="13"/>
        <v>611.9200000000001</v>
      </c>
      <c r="P23" s="19">
        <f t="shared" si="13"/>
        <v>631.5400000000001</v>
      </c>
      <c r="Q23" s="19">
        <f t="shared" si="13"/>
        <v>651.1600000000001</v>
      </c>
    </row>
    <row r="24" spans="1:17" ht="12" customHeight="1">
      <c r="A24" s="18">
        <f>IF(OR(E4=14,E4=12)," ",E4)</f>
        <v>60</v>
      </c>
      <c r="B24" s="17" t="str">
        <f>IF(OR(E4=14,E4=12)," ","X")</f>
        <v>X</v>
      </c>
      <c r="C24" s="18">
        <f>IF(OR(E4=12,E4=14)," ",IF(OR(A24=16,A24=18),46,IF(OR(A24=20,A24=22,A24=24,A24=28,A24=30,A24=36,A24=42,A24=48),C23+2,IF(OR(A24=54,A24=60),C23+6))))</f>
        <v>18</v>
      </c>
      <c r="D24" s="15"/>
      <c r="E24" s="19">
        <f>IF(OR(E4=12,E4=14),"",IF(OR(E4=54,E4=60),E23+((E4/2)-5),IF(OR(E4=36,E4=30),E23+((((E4/6)-2)*0.55)+0.08),IF(OR(E4=42,E4=48),E23+((((E4/6)-3)*0.63)+0.27),IF(OR(E4=18,E4=16),E23+((((E4/2)-4)*0.16)+0.12),IF(OR(E4=22,E4=20),E23+((((E4/2)-2)*0.12)+0.08),IF(OR(E4=28,E4=24),E23+(((((E4/2)/2)-2)*0.29)+0.13))))))))</f>
        <v>440.72</v>
      </c>
      <c r="F24" s="19">
        <f aca="true" t="shared" si="14" ref="F24:Q24">IF(OR(F4=12,F4=14),"",IF(OR(F4=54,F4=60),F23+((F4/2)-5),IF(OR(F4=36,F4=30),F23+((((F4/6)-2)*0.55)+0.08),IF(OR(F4=42,F4=48),F23+((((F4/6)-3)*0.63)+0.27),IF(OR(F4=18,F4=16),F23+((((F4/2)-4)*0.16)+0.12),IF(OR(F4=22,F4=20),F23+((((F4/2)-2)*0.12)+0.08),IF(OR(F4=28,F4=24),F23+(((((F4/2)/2)-2)*0.29)+0.13))))))))</f>
        <v>460.34000000000003</v>
      </c>
      <c r="G24" s="19">
        <f t="shared" si="14"/>
        <v>479.96000000000004</v>
      </c>
      <c r="H24" s="19">
        <f t="shared" si="14"/>
        <v>499.58000000000004</v>
      </c>
      <c r="I24" s="19">
        <f t="shared" si="14"/>
        <v>519.2</v>
      </c>
      <c r="J24" s="19">
        <f t="shared" si="14"/>
        <v>538.82</v>
      </c>
      <c r="K24" s="19">
        <f t="shared" si="14"/>
        <v>558.44</v>
      </c>
      <c r="L24" s="19">
        <f t="shared" si="14"/>
        <v>578.0600000000001</v>
      </c>
      <c r="M24" s="19">
        <f t="shared" si="14"/>
        <v>597.6800000000001</v>
      </c>
      <c r="N24" s="19">
        <f t="shared" si="14"/>
        <v>617.3000000000001</v>
      </c>
      <c r="O24" s="19">
        <f t="shared" si="14"/>
        <v>636.9200000000001</v>
      </c>
      <c r="P24" s="19">
        <f t="shared" si="14"/>
        <v>656.5400000000001</v>
      </c>
      <c r="Q24" s="19">
        <f t="shared" si="14"/>
        <v>676.1600000000001</v>
      </c>
    </row>
    <row r="25" spans="1:17" ht="12" customHeight="1">
      <c r="A25" s="18">
        <f>IF(OR(E4=14,E4=12)," ",E4)</f>
        <v>60</v>
      </c>
      <c r="B25" s="17" t="str">
        <f>IF(OR(E4=14,E4=12)," ","X")</f>
        <v>X</v>
      </c>
      <c r="C25" s="18">
        <f>IF(OR(E4=12,E4=14)," ",IF(OR(A25=16,A25=18),48,IF(OR(A25=20,A25=22,A25=24,A25=28,A25=30,A25=36,A25=42,A25=48),C24+2,IF(OR(A25=54,A25=60),C24+6))))</f>
        <v>24</v>
      </c>
      <c r="D25" s="15"/>
      <c r="E25" s="19">
        <f>IF(OR(E4=12,E4=14),"",IF(OR(E4=54,E4=60),E24+((E4/2)-3),IF(OR(E4=16,E4=18),E24+((((E4/2)-4)*0.17)+0.1),IF(OR(E4=20,E4=22),E24+((((E4/2)-2)*0.13)+0.03),IF(OR(E4=24,E4=28),E24+(((((E4/2)/2)-2)*0.29)+0.17),IF(OR(E4=30,E4=36),E24+((((E4/6)-2)*0.58)+0.02),IF(OR(E4=42,E4=48),E24+((((E4/6)-3)*0.65)+0.25))))))))</f>
        <v>467.72</v>
      </c>
      <c r="F25" s="19">
        <f aca="true" t="shared" si="15" ref="F25:Q25">IF(OR(F4=12,F4=14),"",IF(OR(F4=54,F4=60),F24+((F4/2)-3),IF(OR(F4=16,F4=18),F24+((((F4/2)-4)*0.17)+0.1),IF(OR(F4=20,F4=22),F24+((((F4/2)-2)*0.13)+0.03),IF(OR(F4=24,F4=28),F24+(((((F4/2)/2)-2)*0.29)+0.17),IF(OR(F4=30,F4=36),F24+((((F4/6)-2)*0.58)+0.02),IF(OR(F4=42,F4=48),F24+((((F4/6)-3)*0.65)+0.25))))))))</f>
        <v>487.34000000000003</v>
      </c>
      <c r="G25" s="19">
        <f t="shared" si="15"/>
        <v>506.96000000000004</v>
      </c>
      <c r="H25" s="19">
        <f t="shared" si="15"/>
        <v>526.58</v>
      </c>
      <c r="I25" s="19">
        <f t="shared" si="15"/>
        <v>546.2</v>
      </c>
      <c r="J25" s="19">
        <f t="shared" si="15"/>
        <v>565.82</v>
      </c>
      <c r="K25" s="19">
        <f t="shared" si="15"/>
        <v>585.44</v>
      </c>
      <c r="L25" s="19">
        <f t="shared" si="15"/>
        <v>605.0600000000001</v>
      </c>
      <c r="M25" s="19">
        <f t="shared" si="15"/>
        <v>624.6800000000001</v>
      </c>
      <c r="N25" s="19">
        <f t="shared" si="15"/>
        <v>644.3000000000001</v>
      </c>
      <c r="O25" s="19">
        <f t="shared" si="15"/>
        <v>663.9200000000001</v>
      </c>
      <c r="P25" s="19">
        <f t="shared" si="15"/>
        <v>683.5400000000001</v>
      </c>
      <c r="Q25" s="19">
        <f t="shared" si="15"/>
        <v>703.1600000000001</v>
      </c>
    </row>
    <row r="26" spans="1:17" ht="12" customHeight="1">
      <c r="A26" s="18">
        <f>IF(OR(E4=14,E4=12,E4=16,E4=54)," ",E4)</f>
        <v>60</v>
      </c>
      <c r="B26" s="17" t="str">
        <f>IF(OR(E4=14,E4=12,E4=16,E4=54)," ","X")</f>
        <v>X</v>
      </c>
      <c r="C26" s="18">
        <f>IF(OR(E4=12,E4=14,E4=16,E4=54)," ",IF(A26=18,50,IF(OR(A26=20,A26=22,A26=24,A26=28,A26=30,A26=36,A26=42,A26=48),C25+2,IF(A26=60,C25+6))))</f>
        <v>30</v>
      </c>
      <c r="D26" s="15"/>
      <c r="E26" s="19">
        <f>IF(OR(E4=12,E4=14,E4=16,E4=54),"",IF(E4=48,117.59+((E8-5)*12.57),IF(E4=60,494.72+((E8-6)*19.62),IF(OR(E4=18,E4=20),E25+((((E4/2)-1)*0.12)+0.03),IF(OR(E4=22,E4=24),E25+((((E4/2)-3)*0.14)+0.11),IF(OR(E4=28,E4=30),E25+((((E4/2)-5)*0.18)+0.03),IF(OR(E4=36,E4=42),E25+((((E4/6)-2)*0.52)+0.33))))))))</f>
        <v>494.72</v>
      </c>
      <c r="F26" s="19">
        <f aca="true" t="shared" si="16" ref="F26:Q26">IF(OR(F4=12,F4=14,F4=16,F4=54),"",IF(F4=48,117.59+((F8-5)*12.57),IF(F4=60,494.72+((F8-6)*19.62),IF(OR(F4=18,F4=20),F25+((((F4/2)-1)*0.12)+0.03),IF(OR(F4=22,F4=24),F25+((((F4/2)-3)*0.14)+0.11),IF(OR(F4=28,F4=30),F25+((((F4/2)-5)*0.18)+0.03),IF(OR(F4=36,F4=42),F25+((((F4/6)-2)*0.52)+0.33))))))))</f>
        <v>514.34</v>
      </c>
      <c r="G26" s="19">
        <f t="shared" si="16"/>
        <v>533.96</v>
      </c>
      <c r="H26" s="19">
        <f t="shared" si="16"/>
        <v>553.58</v>
      </c>
      <c r="I26" s="19">
        <f t="shared" si="16"/>
        <v>573.2</v>
      </c>
      <c r="J26" s="19">
        <f t="shared" si="16"/>
        <v>592.82</v>
      </c>
      <c r="K26" s="19">
        <f t="shared" si="16"/>
        <v>612.44</v>
      </c>
      <c r="L26" s="19">
        <f t="shared" si="16"/>
        <v>632.0600000000001</v>
      </c>
      <c r="M26" s="19">
        <f t="shared" si="16"/>
        <v>651.6800000000001</v>
      </c>
      <c r="N26" s="19">
        <f t="shared" si="16"/>
        <v>671.3000000000001</v>
      </c>
      <c r="O26" s="19">
        <f t="shared" si="16"/>
        <v>690.9200000000001</v>
      </c>
      <c r="P26" s="19">
        <f t="shared" si="16"/>
        <v>710.5400000000001</v>
      </c>
      <c r="Q26" s="19">
        <f t="shared" si="16"/>
        <v>730.1600000000001</v>
      </c>
    </row>
    <row r="27" spans="1:17" ht="12" customHeight="1">
      <c r="A27" s="18">
        <f>IF(OR(E4=14,E4=12,E4=16,E4=54)," ",E4)</f>
        <v>60</v>
      </c>
      <c r="B27" s="17" t="str">
        <f>IF(OR(E4=14,E4=12,E4=16,E4=54)," ","X")</f>
        <v>X</v>
      </c>
      <c r="C27" s="18">
        <f>IF(OR(E4=12,E4=14,E4=16,E4=54)," ",IF(A27=18,52,IF(OR(A27=20,A27=22,A27=24,A27=28,A27=30,A27=36,A27=42,A27=48),C26+2,IF(A27=60,C26+6))))</f>
        <v>36</v>
      </c>
      <c r="D27" s="15"/>
      <c r="E27" s="19">
        <f>IF(OR(E4=12,E4=14,E4=16,E4=54),"",IF(E4=48,121.22+((E8-5)*12.57),IF(E4=60,522.72+((E8-6)*19.62),IF(OR(E4=18,E4=20),E26+((((E4/2)-1)*0.12)+0.07),IF(OR(E4=22,E4=24),E26+((((E4/2)-3)*0.15)+0.08),IF(OR(E4=28,E4=30),E26+((((E4/2)-4)*0.16)+0.13),IF(OR(E4=36,E4=42),E26+((((E4/6)-2)*0.55)+0.24))))))))</f>
        <v>522.72</v>
      </c>
      <c r="F27" s="19">
        <f aca="true" t="shared" si="17" ref="F27:Q27">IF(OR(F4=12,F4=14,F4=16,F4=54),"",IF(F4=48,121.22+((F8-5)*12.57),IF(F4=60,522.72+((F8-6)*19.62),IF(OR(F4=18,F4=20),F26+((((F4/2)-1)*0.12)+0.07),IF(OR(F4=22,F4=24),F26+((((F4/2)-3)*0.15)+0.08),IF(OR(F4=28,F4=30),F26+((((F4/2)-4)*0.16)+0.13),IF(OR(F4=36,F4=42),F26+((((F4/6)-2)*0.55)+0.24))))))))</f>
        <v>542.34</v>
      </c>
      <c r="G27" s="19">
        <f t="shared" si="17"/>
        <v>561.96</v>
      </c>
      <c r="H27" s="19">
        <f t="shared" si="17"/>
        <v>581.58</v>
      </c>
      <c r="I27" s="19">
        <f t="shared" si="17"/>
        <v>601.2</v>
      </c>
      <c r="J27" s="19">
        <f t="shared" si="17"/>
        <v>620.82</v>
      </c>
      <c r="K27" s="19">
        <f t="shared" si="17"/>
        <v>640.44</v>
      </c>
      <c r="L27" s="19">
        <f t="shared" si="17"/>
        <v>660.0600000000001</v>
      </c>
      <c r="M27" s="19">
        <f t="shared" si="17"/>
        <v>679.6800000000001</v>
      </c>
      <c r="N27" s="19">
        <f t="shared" si="17"/>
        <v>699.3000000000001</v>
      </c>
      <c r="O27" s="19">
        <f t="shared" si="17"/>
        <v>718.9200000000001</v>
      </c>
      <c r="P27" s="19">
        <f t="shared" si="17"/>
        <v>738.5400000000001</v>
      </c>
      <c r="Q27" s="19">
        <f t="shared" si="17"/>
        <v>758.1600000000001</v>
      </c>
    </row>
    <row r="28" spans="1:17" ht="12" customHeight="1">
      <c r="A28" s="18" t="str">
        <f>IF(OR(E4=14,E4=12,E4=16,E4=60,E4=54)," ",E4)</f>
        <v> </v>
      </c>
      <c r="B28" s="17" t="str">
        <f>IF(OR(E4=14,E4=12,E4=16,E4=60,E4=54)," ","X")</f>
        <v> </v>
      </c>
      <c r="C28" s="18" t="str">
        <f>IF(OR(E4=12,E4=14,E4=16,E4=54,E4=60)," ",IF(A28=18,54,IF(OR(A28=20,A28=22,A28=24,A28=28,A28=30,A28=36,A28=42,A28=48),C27+2)))</f>
        <v> </v>
      </c>
      <c r="D28" s="15"/>
      <c r="E28" s="19">
        <f>IF(OR(E4=12,E4=14,E4=16,E4=54,E4=60),"",IF(OR(E4=18,E4=20),E27+((((E4/2)-1)*0.12)+0.1),IF(OR(E4=22,E4=24),E27+(((E4/2)*0.12)+0.01),IF(OR(E4=28,E4=30),E27+((((E4/2)-3)*0.15)+0.12),IF(OR(E4=36,E4=42),E27+((((E4/6)-2)*0.52)+0.45),IF(E4=48,124.94+((E8-5)*12.57)))))))</f>
      </c>
      <c r="F28" s="19">
        <f aca="true" t="shared" si="18" ref="F28:Q28">IF(OR(F4=12,F4=14,F4=16,F4=54,F4=60),"",IF(OR(F4=18,F4=20),F27+((((F4/2)-1)*0.12)+0.1),IF(OR(F4=22,F4=24),F27+(((F4/2)*0.12)+0.01),IF(OR(F4=28,F4=30),F27+((((F4/2)-3)*0.15)+0.12),IF(OR(F4=36,F4=42),F27+((((F4/6)-2)*0.52)+0.45),IF(F4=48,124.94+((F8-5)*12.57)))))))</f>
      </c>
      <c r="G28" s="19">
        <f t="shared" si="18"/>
      </c>
      <c r="H28" s="19">
        <f t="shared" si="18"/>
      </c>
      <c r="I28" s="19">
        <f t="shared" si="18"/>
      </c>
      <c r="J28" s="19">
        <f t="shared" si="18"/>
      </c>
      <c r="K28" s="19">
        <f t="shared" si="18"/>
      </c>
      <c r="L28" s="19">
        <f t="shared" si="18"/>
      </c>
      <c r="M28" s="19">
        <f t="shared" si="18"/>
      </c>
      <c r="N28" s="19">
        <f t="shared" si="18"/>
      </c>
      <c r="O28" s="19">
        <f t="shared" si="18"/>
      </c>
      <c r="P28" s="19">
        <f t="shared" si="18"/>
      </c>
      <c r="Q28" s="19">
        <f t="shared" si="18"/>
      </c>
    </row>
    <row r="29" spans="1:17" ht="12" customHeight="1">
      <c r="A29" s="18" t="str">
        <f>IF(OR(E4=14,E4=12,E4=16,E4=18,E4=60,E4=54)," ",E4)</f>
        <v> </v>
      </c>
      <c r="B29" s="17" t="str">
        <f>IF(OR(E4=14,E4=12,E4=16,E4=18,E4=60,E4=54)," ","X")</f>
        <v> </v>
      </c>
      <c r="C29" s="18" t="str">
        <f>IF(OR(E4=12,E4=14,E4=16,E4=54,E4=60,E4=18)," ",IF(OR(A29=20,A29=22,A29=24,A29=28,A29=30,A29=36,A29=42,A29=48),C28+2))</f>
        <v> </v>
      </c>
      <c r="D29" s="15"/>
      <c r="E29" s="19">
        <f>IF(OR(E4=12,E4=14,E4=16,E4=18,E4=54,E4=60),"",IF(OR(E4=22,E4=24),E28+((((E4/2)-3)*0.16)+0.07),IF(OR(E4=28,E4=30),E28+((((E4/2)-4)*0.17)+0.1),IF(E4=20,26.49+((E8-4)*2.18),IF(E4=36,79.33+((E8-5)*7.07),IF(E4=42,101.04+((E8-5)*9.62),IF(E4=48,128.73+((E8-5)*12.57))))))))</f>
      </c>
      <c r="F29" s="19">
        <f aca="true" t="shared" si="19" ref="F29:Q29">IF(OR(F4=12,F4=14,F4=16,F4=18,F4=54,F4=60),"",IF(OR(F4=22,F4=24),F28+((((F4/2)-3)*0.16)+0.07),IF(OR(F4=28,F4=30),F28+((((F4/2)-4)*0.17)+0.1),IF(F4=20,26.49+((F8-4)*2.18),IF(F4=36,79.33+((F8-5)*7.07),IF(F4=42,101.04+((F8-5)*9.62),IF(F4=48,128.73+((F8-5)*12.57))))))))</f>
      </c>
      <c r="G29" s="19">
        <f t="shared" si="19"/>
      </c>
      <c r="H29" s="19">
        <f t="shared" si="19"/>
      </c>
      <c r="I29" s="19">
        <f t="shared" si="19"/>
      </c>
      <c r="J29" s="19">
        <f t="shared" si="19"/>
      </c>
      <c r="K29" s="19">
        <f t="shared" si="19"/>
      </c>
      <c r="L29" s="19">
        <f t="shared" si="19"/>
      </c>
      <c r="M29" s="19">
        <f t="shared" si="19"/>
      </c>
      <c r="N29" s="19">
        <f t="shared" si="19"/>
      </c>
      <c r="O29" s="19">
        <f t="shared" si="19"/>
      </c>
      <c r="P29" s="19">
        <f t="shared" si="19"/>
      </c>
      <c r="Q29" s="19">
        <f t="shared" si="19"/>
      </c>
    </row>
    <row r="30" spans="1:17" ht="12" customHeight="1">
      <c r="A30" s="18" t="str">
        <f>IF(OR(E4=14,E4=12,E4=16,E4=18,E4=60,E4=54)," ",E4)</f>
        <v> </v>
      </c>
      <c r="B30" s="17" t="str">
        <f>IF(OR(E4=14,E4=12,E4=16,E4=18,E4=60,E4=54)," ","X")</f>
        <v> </v>
      </c>
      <c r="C30" s="18" t="str">
        <f>IF(OR(E4=12,E4=14,E4=16,E4=54,E4=60,E4=18)," ",IF(OR(A30=20,A30=22,A30=24,A30=28,A30=30,A30=36,A30=42,A30=48),C29+2))</f>
        <v> </v>
      </c>
      <c r="D30" s="15"/>
      <c r="E30" s="19">
        <f>IF(OR(E4=12,E4=14,E4=16,E4=18,E4=54,E4=60),"",IF(OR(E4=22,E4=24),E29+((((E4/2)-1)*0.14)+0.01),IF(OR(E4=28,E4=30),E29+(((E4/2)-3)*0.17),IF(E4=20,27.75+((E8-4)*2.18),IF(E4=36,81.96+((E8-5)*7.07),IF(E4=42,104.2+((E8-5)*9.62),IF(E4=48,132.59+((E8-5)*12.57))))))))</f>
      </c>
      <c r="F30" s="19">
        <f aca="true" t="shared" si="20" ref="F30:Q30">IF(OR(F4=12,F4=14,F4=16,F4=18,F4=54,F4=60),"",IF(OR(F4=22,F4=24),F29+((((F4/2)-1)*0.14)+0.01),IF(OR(F4=28,F4=30),F29+(((F4/2)-3)*0.17),IF(F4=20,27.75+((F8-4)*2.18),IF(F4=36,81.96+((F8-5)*7.07),IF(F4=42,104.2+((F8-5)*9.62),IF(F4=48,132.59+((F8-5)*12.57))))))))</f>
      </c>
      <c r="G30" s="19">
        <f t="shared" si="20"/>
      </c>
      <c r="H30" s="19">
        <f t="shared" si="20"/>
      </c>
      <c r="I30" s="19">
        <f t="shared" si="20"/>
      </c>
      <c r="J30" s="19">
        <f t="shared" si="20"/>
      </c>
      <c r="K30" s="19">
        <f t="shared" si="20"/>
      </c>
      <c r="L30" s="19">
        <f t="shared" si="20"/>
      </c>
      <c r="M30" s="19">
        <f t="shared" si="20"/>
      </c>
      <c r="N30" s="19">
        <f t="shared" si="20"/>
      </c>
      <c r="O30" s="19">
        <f t="shared" si="20"/>
      </c>
      <c r="P30" s="19">
        <f t="shared" si="20"/>
      </c>
      <c r="Q30" s="19">
        <f t="shared" si="20"/>
      </c>
    </row>
    <row r="31" spans="1:17" ht="12" customHeight="1">
      <c r="A31" s="24" t="str">
        <f>IF(OR(E4=14,E4=12,E4=16,E4=18,E4=20,E4=54,E4=60)," ",E4)</f>
        <v> 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ht="12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ht="12" customHeight="1">
      <c r="A33" s="18" t="str">
        <f>IF(OR(E4=14,E4=12,E4=16,E4=18,E4=20,E4=22,E4=54,E4=60)," ",E4)</f>
        <v> </v>
      </c>
      <c r="B33" s="17" t="str">
        <f>IF(OR(E4=14,E4=12,E4=16,E4=18,E4=20,E4=22,E4=54,E4=60)," ","X")</f>
        <v> </v>
      </c>
      <c r="C33" s="18" t="str">
        <f>IF(OR(E4=12,E4=14,E4=16,E4=54,E4=60,E4=18,E4=20,E4=22)," ",IF(OR(A33=24,A33=28,A33=30,A33=36,A33=42,A33=48),C32+2))</f>
        <v> </v>
      </c>
      <c r="D33" s="15"/>
      <c r="E33" s="19">
        <f aca="true" t="shared" si="21" ref="E33:Q33">IF(OR(E4=12,E4=14,E4=16,E4=18,E4=54,E4=60,E4=20,E4=22),"",IF(E4=24,44.88+((E8-5)*3.14),IF(E4=28,57.42+((E8-5)*4.28),IF(E4=30,64.32+((E8-5)*4.91),IF(E4=36,90.21+((E8-5)*7.07),IF(E4=42,114.15+((E8-5)*9.62),IF(E4=48,144.61+((E8-5)*12.57))))))))</f>
      </c>
      <c r="F33" s="19">
        <f t="shared" si="21"/>
      </c>
      <c r="G33" s="19">
        <f t="shared" si="21"/>
      </c>
      <c r="H33" s="19">
        <f t="shared" si="21"/>
      </c>
      <c r="I33" s="19">
        <f t="shared" si="21"/>
      </c>
      <c r="J33" s="19">
        <f t="shared" si="21"/>
      </c>
      <c r="K33" s="19">
        <f t="shared" si="21"/>
      </c>
      <c r="L33" s="19">
        <f t="shared" si="21"/>
      </c>
      <c r="M33" s="19">
        <f t="shared" si="21"/>
      </c>
      <c r="N33" s="19">
        <f t="shared" si="21"/>
      </c>
      <c r="O33" s="19">
        <f t="shared" si="21"/>
      </c>
      <c r="P33" s="19">
        <f t="shared" si="21"/>
      </c>
      <c r="Q33" s="19">
        <f t="shared" si="21"/>
      </c>
    </row>
    <row r="34" spans="1:17" ht="12" customHeight="1">
      <c r="A34" s="18" t="str">
        <f>IF(OR(E4=14,E4=12,E4=16,E4=18,E4=20,E4=22,E4=54,E4=60)," ",E4)</f>
        <v> </v>
      </c>
      <c r="B34" s="17" t="str">
        <f>IF(OR(E4=14,E4=12,E4=16,E4=18,E4=20,E4=22,E4=54,E4=60)," ","X")</f>
        <v> </v>
      </c>
      <c r="C34" s="18" t="str">
        <f>IF(OR(E4=12,E4=14,E4=16,E4=54,E4=60,E4=18,E4=20,E4=22)," ",IF(OR(A34=24,A34=28,A34=30,A34=36,A34=42,A34=48),C33+2))</f>
        <v> </v>
      </c>
      <c r="D34" s="15"/>
      <c r="E34" s="19">
        <f aca="true" t="shared" si="22" ref="E34:Q34">IF(OR(E4=12,E4=14,E4=16,E4=18,E4=54,E4=60,E4=20,E4=22),"",IF(E4=24,46.59+((E8-5)*3.14),IF(E4=28,59.47+((E8-5)*4.28),IF(E4=30,66.55+((E8-5)*4.91),IF(E4=36,93.07+((E8-5)*7.07),IF(E4=42,117.6+((E8-5)*9.62),IF(E4=48,148.77+((E8-5)*12.57))))))))</f>
      </c>
      <c r="F34" s="19">
        <f t="shared" si="22"/>
      </c>
      <c r="G34" s="19">
        <f t="shared" si="22"/>
      </c>
      <c r="H34" s="19">
        <f t="shared" si="22"/>
      </c>
      <c r="I34" s="19">
        <f t="shared" si="22"/>
      </c>
      <c r="J34" s="19">
        <f t="shared" si="22"/>
      </c>
      <c r="K34" s="19">
        <f t="shared" si="22"/>
      </c>
      <c r="L34" s="19">
        <f t="shared" si="22"/>
      </c>
      <c r="M34" s="19">
        <f t="shared" si="22"/>
      </c>
      <c r="N34" s="19">
        <f t="shared" si="22"/>
      </c>
      <c r="O34" s="19">
        <f t="shared" si="22"/>
      </c>
      <c r="P34" s="19">
        <f t="shared" si="22"/>
      </c>
      <c r="Q34" s="19">
        <f t="shared" si="22"/>
      </c>
    </row>
    <row r="35" spans="1:17" ht="12" customHeight="1">
      <c r="A35" s="18" t="str">
        <f>IF(OR(E4=14,E4=12,E4=16,E4=18,E4=20,E4=22,E4=54,E4=60,E4=24)," ",E4)</f>
        <v> </v>
      </c>
      <c r="B35" s="17" t="str">
        <f>IF(OR(E4=14,E4=12,E4=16,E4=18,E4=20,E4=22,E4=54,E4=60,E4=24)," ","X")</f>
        <v> </v>
      </c>
      <c r="C35" s="18" t="str">
        <f>IF(OR(E4=12,E4=14,E4=16,E4=54,E4=60,E4=18,E4=20,E4=22,E4=24)," ",IF(OR(A35=28,A35=30,A35=36,A35=42,A35=48),C34+2))</f>
        <v> </v>
      </c>
      <c r="D35" s="15"/>
      <c r="E35" s="19">
        <f aca="true" t="shared" si="23" ref="E35:Q35">IF(OR(E4=12,E4=14,E4=16,E4=18,E4=54,E4=60,E4=20,E4=22,E4=24),"",IF(E4=28,61.57+((E8-5)*4.28),IF(E4=30,68.83+((E8-5)*4.91),IF(E4=36,96+((E8-5)*7.07),IF(E4=42,121.12+((E8-5)*9.62),IF(E4=48,152.99+((E8-5)*12.57)))))))</f>
      </c>
      <c r="F35" s="19">
        <f t="shared" si="23"/>
      </c>
      <c r="G35" s="19">
        <f t="shared" si="23"/>
      </c>
      <c r="H35" s="19">
        <f t="shared" si="23"/>
      </c>
      <c r="I35" s="19">
        <f t="shared" si="23"/>
      </c>
      <c r="J35" s="19">
        <f t="shared" si="23"/>
      </c>
      <c r="K35" s="19">
        <f t="shared" si="23"/>
      </c>
      <c r="L35" s="19">
        <f t="shared" si="23"/>
      </c>
      <c r="M35" s="19">
        <f t="shared" si="23"/>
      </c>
      <c r="N35" s="19">
        <f t="shared" si="23"/>
      </c>
      <c r="O35" s="19">
        <f t="shared" si="23"/>
      </c>
      <c r="P35" s="19">
        <f t="shared" si="23"/>
      </c>
      <c r="Q35" s="19">
        <f t="shared" si="23"/>
      </c>
    </row>
    <row r="36" spans="1:17" ht="12" customHeight="1">
      <c r="A36" s="18" t="str">
        <f>IF(OR(E4=14,E4=12,E4=16,E4=18,E4=20,E4=22,E4=24,E4=54,E4=60)," ",E4)</f>
        <v> </v>
      </c>
      <c r="B36" s="17" t="str">
        <f>IF(OR(E4=14,E4=12,E4=16,E4=18,E4=20,E4=22,E4=24,E4=54,E4=60)," ","X")</f>
        <v> </v>
      </c>
      <c r="C36" s="18" t="str">
        <f>IF(OR(E4=12,E4=14,E4=16,E4=54,E4=60,E4=18,E4=20,E4=22,E4=24)," ",IF(OR(A36=28,A36=30,A36=36,A36=42,A36=48),C35+2))</f>
        <v> </v>
      </c>
      <c r="D36" s="15"/>
      <c r="E36" s="19">
        <f aca="true" t="shared" si="24" ref="E36:Q36">IF(OR(E4=12,E4=14,E4=16,E4=18,E4=54,E4=60,E4=20,E4=22,E4=24),"",IF(E4=28,63.73+((E8-5)*4.28),IF(E4=30,71.17+((E8-5)*4.91),IF(E4=36,98.98+((E8-5)*7.07),IF(E4=42,124.69+((E8-5)*9.62),IF(E4=48,157.29+((E8-5)*12.57)))))))</f>
      </c>
      <c r="F36" s="19">
        <f t="shared" si="24"/>
      </c>
      <c r="G36" s="19">
        <f t="shared" si="24"/>
      </c>
      <c r="H36" s="19">
        <f t="shared" si="24"/>
      </c>
      <c r="I36" s="19">
        <f t="shared" si="24"/>
      </c>
      <c r="J36" s="19">
        <f t="shared" si="24"/>
      </c>
      <c r="K36" s="19">
        <f t="shared" si="24"/>
      </c>
      <c r="L36" s="19">
        <f t="shared" si="24"/>
      </c>
      <c r="M36" s="19">
        <f t="shared" si="24"/>
      </c>
      <c r="N36" s="19">
        <f t="shared" si="24"/>
      </c>
      <c r="O36" s="19">
        <f t="shared" si="24"/>
      </c>
      <c r="P36" s="19">
        <f t="shared" si="24"/>
      </c>
      <c r="Q36" s="19">
        <f t="shared" si="24"/>
      </c>
    </row>
    <row r="37" spans="1:17" ht="12" customHeight="1">
      <c r="A37" s="18" t="str">
        <f>IF(OR(E4=14,E4=12,E4=16,E4=18,E4=20,E4=22,E4=24,E4=54,E4=60)," ",E4)</f>
        <v> </v>
      </c>
      <c r="B37" s="17" t="str">
        <f>IF(OR(E4=14,E4=12,E4=16,E4=18,E4=20,E4=22,E4=24,E4=54,E4=60)," ","X")</f>
        <v> </v>
      </c>
      <c r="C37" s="18" t="str">
        <f>IF(OR(E4=12,E4=14,E4=16,E4=54,E4=60,E4=18,E4=20,E4=22,E4=24)," ",IF(OR(A37=28,A37=30,A37=36,A37=42,A37=48),C36+2))</f>
        <v> </v>
      </c>
      <c r="D37" s="15"/>
      <c r="E37" s="19">
        <f aca="true" t="shared" si="25" ref="E37:Q37">IF(OR(E4=12,E4=14,E4=16,E4=18,E4=54,E4=60,E4=20,E4=22,E4=24),"",IF(E4=28,65.92+((E8-5)*4.28),IF(E4=30,73.55+((E8-5)*4.91),IF(E4=36,102.01+((E8-5)*7.07),IF(E4=42,128.34+((E8-5)*9.62),IF(E4=48,161.65+((E8-5)*12.57)))))))</f>
      </c>
      <c r="F37" s="19">
        <f t="shared" si="25"/>
      </c>
      <c r="G37" s="19">
        <f t="shared" si="25"/>
      </c>
      <c r="H37" s="19">
        <f t="shared" si="25"/>
      </c>
      <c r="I37" s="19">
        <f t="shared" si="25"/>
      </c>
      <c r="J37" s="19">
        <f t="shared" si="25"/>
      </c>
      <c r="K37" s="19">
        <f t="shared" si="25"/>
      </c>
      <c r="L37" s="19">
        <f t="shared" si="25"/>
      </c>
      <c r="M37" s="19">
        <f t="shared" si="25"/>
      </c>
      <c r="N37" s="19">
        <f t="shared" si="25"/>
      </c>
      <c r="O37" s="19">
        <f t="shared" si="25"/>
      </c>
      <c r="P37" s="19">
        <f t="shared" si="25"/>
      </c>
      <c r="Q37" s="19">
        <f t="shared" si="25"/>
      </c>
    </row>
    <row r="38" spans="1:17" ht="12" customHeight="1">
      <c r="A38" s="18" t="str">
        <f>IF(OR(E4=14,E4=12,E4=16,E4=18,E4=20,E4=22,E4=24,E4=54,E4=60)," ",E4)</f>
        <v> </v>
      </c>
      <c r="B38" s="17" t="str">
        <f>IF(OR(E4=14,E4=12,E4=16,E4=18,E4=20,E4=22,E4=24,E4=54,E4=60)," ","X")</f>
        <v> </v>
      </c>
      <c r="C38" s="18" t="str">
        <f>IF(OR(E4=12,E4=14,E4=16,E4=54,E4=60,E4=18,E4=20,E4=22,E4=24)," ",IF(OR(A38=28,A38=30,A38=36,A38=42,A38=48),C37+2))</f>
        <v> </v>
      </c>
      <c r="D38" s="15"/>
      <c r="E38" s="19">
        <f aca="true" t="shared" si="26" ref="E38:Q38">IF(OR(E4=12,E4=14,E4=16,E4=18,E4=54,E4=60,E4=20,E4=22,E4=24),"",IF(E4=28,68.17+((E8-5)*4.28),IF(E4=30,75.99+((E8-5)*4.91),IF(E4=36,105.12+((E8-5)*7.07),IF(E4=42,132.04+((E8-5)*9.62),IF(E4=48,166.1+((E8-5)*12.57)))))))</f>
      </c>
      <c r="F38" s="19">
        <f t="shared" si="26"/>
      </c>
      <c r="G38" s="19">
        <f t="shared" si="26"/>
      </c>
      <c r="H38" s="19">
        <f t="shared" si="26"/>
      </c>
      <c r="I38" s="19">
        <f t="shared" si="26"/>
      </c>
      <c r="J38" s="19">
        <f t="shared" si="26"/>
      </c>
      <c r="K38" s="19">
        <f t="shared" si="26"/>
      </c>
      <c r="L38" s="19">
        <f t="shared" si="26"/>
      </c>
      <c r="M38" s="19">
        <f t="shared" si="26"/>
      </c>
      <c r="N38" s="19">
        <f t="shared" si="26"/>
      </c>
      <c r="O38" s="19">
        <f t="shared" si="26"/>
      </c>
      <c r="P38" s="19">
        <f t="shared" si="26"/>
      </c>
      <c r="Q38" s="19">
        <f t="shared" si="26"/>
      </c>
    </row>
    <row r="39" spans="1:17" ht="12" customHeight="1">
      <c r="A39" s="18" t="str">
        <f>IF(OR(E4=14,E4=12,E4=16,E4=18,E4=20,E4=22,E4=24,E4=28,E4=54,E4=60)," ",E4)</f>
        <v> </v>
      </c>
      <c r="B39" s="17" t="str">
        <f>IF(OR(E4=14,E4=12,E4=16,E4=18,E4=20,E4=22,E4=24,E4=28,E4=54,E4=60)," ","X")</f>
        <v> </v>
      </c>
      <c r="C39" s="18" t="str">
        <f>IF(OR(E4=12,E4=14,E4=16,E4=54,E4=60,E4=18,E4=20,E4=22,E4=24,E4=28)," ",IF(OR(A39=30,A39=36,A39=42,A39=48),C38+2))</f>
        <v> </v>
      </c>
      <c r="D39" s="15"/>
      <c r="E39" s="19">
        <f aca="true" t="shared" si="27" ref="E39:Q39">IF(OR(E4=12,E4=14,E4=16,E4=18,E4=54,E4=60,E4=20,E4=22,E4=24,E4=28),"",IF(E4=30,78.48+((E8-5)*4.91),IF(E4=36,108.27+((E8-5)*7.07),IF(E4=42,135.82+((E8-5)*9.62),IF(E4=48,170.62+((E8-5)*12.57))))))</f>
      </c>
      <c r="F39" s="19">
        <f t="shared" si="27"/>
      </c>
      <c r="G39" s="19">
        <f t="shared" si="27"/>
      </c>
      <c r="H39" s="19">
        <f t="shared" si="27"/>
      </c>
      <c r="I39" s="19">
        <f t="shared" si="27"/>
      </c>
      <c r="J39" s="19">
        <f t="shared" si="27"/>
      </c>
      <c r="K39" s="19">
        <f t="shared" si="27"/>
      </c>
      <c r="L39" s="19">
        <f t="shared" si="27"/>
      </c>
      <c r="M39" s="19">
        <f t="shared" si="27"/>
      </c>
      <c r="N39" s="19">
        <f t="shared" si="27"/>
      </c>
      <c r="O39" s="19">
        <f t="shared" si="27"/>
      </c>
      <c r="P39" s="19">
        <f t="shared" si="27"/>
      </c>
      <c r="Q39" s="19">
        <f t="shared" si="27"/>
      </c>
    </row>
    <row r="40" spans="1:17" ht="12" customHeight="1">
      <c r="A40" s="18" t="str">
        <f>IF(OR(E4=14,E4=12,E4=16,E4=18,E4=20,E4=22,E4=24,E4=28,E4=54,E4=60)," ",E4)</f>
        <v> </v>
      </c>
      <c r="B40" s="17" t="str">
        <f>IF(OR(E4=14,E4=12,E4=16,E4=18,E4=20,E4=22,E4=24,E4=28,E4=54,E4=60)," ","X")</f>
        <v> </v>
      </c>
      <c r="C40" s="18" t="str">
        <f>IF(OR(E4=12,E4=14,E4=16,E4=54,E4=60,E4=18,E4=20,E4=22,E4=24,E4=28)," ",IF(OR(A40=30,A40=36,A40=42,A40=48),C39+2))</f>
        <v> </v>
      </c>
      <c r="D40" s="15"/>
      <c r="E40" s="19">
        <f aca="true" t="shared" si="28" ref="E40:Q40">IF(OR(E4=12,E4=14,E4=16,E4=18,E4=54,E4=60,E4=20,E4=22,E4=24,E4=28),"",IF(E4=30,81.02+((E8-5)*4.91),IF(E4=36,111.48+((E8-5)*7.07),IF(E4=42,139.65+((E8-5)*9.62),IF(E4=48,175.16+((E8-5)*12.57))))))</f>
      </c>
      <c r="F40" s="19">
        <f t="shared" si="28"/>
      </c>
      <c r="G40" s="19">
        <f t="shared" si="28"/>
      </c>
      <c r="H40" s="19">
        <f t="shared" si="28"/>
      </c>
      <c r="I40" s="19">
        <f t="shared" si="28"/>
      </c>
      <c r="J40" s="19">
        <f t="shared" si="28"/>
      </c>
      <c r="K40" s="19">
        <f t="shared" si="28"/>
      </c>
      <c r="L40" s="19">
        <f t="shared" si="28"/>
      </c>
      <c r="M40" s="19">
        <f t="shared" si="28"/>
      </c>
      <c r="N40" s="19">
        <f t="shared" si="28"/>
      </c>
      <c r="O40" s="19">
        <f t="shared" si="28"/>
      </c>
      <c r="P40" s="19">
        <f t="shared" si="28"/>
      </c>
      <c r="Q40" s="19">
        <f t="shared" si="28"/>
      </c>
    </row>
    <row r="41" spans="1:17" ht="12" customHeight="1">
      <c r="A41" s="18" t="str">
        <f>IF(OR(E4=14,E4=12,E4=16,E4=18,E4=20,E4=22,E4=24,E4=28,E4=30,E4=54,E4=60)," ",E4)</f>
        <v> </v>
      </c>
      <c r="B41" s="17" t="str">
        <f>IF(OR(E4=14,E4=12,E4=16,E4=18,E4=20,E4=22,E4=24,E4=28,E4=30,E4=54,E4=60)," ","X")</f>
        <v> </v>
      </c>
      <c r="C41" s="18" t="str">
        <f>IF(OR(E4=12,E4=14,E4=16,E4=54,E4=60,E4=18,E4=20,E4=22,E4=24,E4=28,E4=30)," ",IF(OR(A41=36,A41=42,A41=48),C40+2))</f>
        <v> </v>
      </c>
      <c r="D41" s="15"/>
      <c r="E41" s="19" t="str">
        <f aca="true" t="shared" si="29" ref="E41:Q41">IF(OR(E4=12,E4=14,E4=16,E4=18,E4=20,E4=22,E4=24,E4=28,E4=30,E4=54,E4=60)," ",IF(E4=36,114.77+((E8-5)*7.07),IF(E4=42,143.56+((E8-5)*9.62),IF(E4=48,179.87+((E8-5)*12.57)))))</f>
        <v> </v>
      </c>
      <c r="F41" s="19" t="str">
        <f t="shared" si="29"/>
        <v> </v>
      </c>
      <c r="G41" s="19" t="str">
        <f t="shared" si="29"/>
        <v> </v>
      </c>
      <c r="H41" s="19" t="str">
        <f t="shared" si="29"/>
        <v> </v>
      </c>
      <c r="I41" s="19" t="str">
        <f t="shared" si="29"/>
        <v> </v>
      </c>
      <c r="J41" s="19" t="str">
        <f t="shared" si="29"/>
        <v> </v>
      </c>
      <c r="K41" s="19" t="str">
        <f t="shared" si="29"/>
        <v> </v>
      </c>
      <c r="L41" s="19" t="str">
        <f t="shared" si="29"/>
        <v> </v>
      </c>
      <c r="M41" s="19" t="str">
        <f t="shared" si="29"/>
        <v> </v>
      </c>
      <c r="N41" s="19" t="str">
        <f t="shared" si="29"/>
        <v> </v>
      </c>
      <c r="O41" s="19" t="str">
        <f t="shared" si="29"/>
        <v> </v>
      </c>
      <c r="P41" s="19" t="str">
        <f t="shared" si="29"/>
        <v> </v>
      </c>
      <c r="Q41" s="19" t="str">
        <f t="shared" si="29"/>
        <v> </v>
      </c>
    </row>
    <row r="42" spans="1:17" ht="12" customHeight="1">
      <c r="A42" s="18" t="str">
        <f>IF(OR(E4=14,E4=12,E4=16,E4=18,E4=20,E4=22,E4=24,E4=28,E4=30,E4=54,E4=60)," ",E4)</f>
        <v> </v>
      </c>
      <c r="B42" s="17" t="str">
        <f>IF(OR(E4=14,E4=12,E4=16,E4=18,E4=20,E4=22,E4=24,E4=28,E4=30,E4=54,E4=60)," ","X")</f>
        <v> </v>
      </c>
      <c r="C42" s="18" t="str">
        <f>IF(OR(E4=12,E4=14,E4=16,E4=54,E4=60,E4=18,E4=20,E4=22,E4=24,E4=28,E4=30)," ",IF(OR(A41=36,A41=42,A41=48),C41+2))</f>
        <v> </v>
      </c>
      <c r="D42" s="15"/>
      <c r="E42" s="19" t="str">
        <f aca="true" t="shared" si="30" ref="E42:Q42">IF(OR(E4=12,E4=14,E4=16,E4=18,E4=20,E4=22,E4=24,E4=28,E4=30,E4=54,E4=60)," ",IF(E4=36,118.09+((E8-5)*7.07),IF(E4=42,147.53+((E8-5)*9.62),IF(E4=48,184.61+((E8-5)*12.57)))))</f>
        <v> </v>
      </c>
      <c r="F42" s="19" t="str">
        <f t="shared" si="30"/>
        <v> </v>
      </c>
      <c r="G42" s="19" t="str">
        <f t="shared" si="30"/>
        <v> </v>
      </c>
      <c r="H42" s="19" t="str">
        <f t="shared" si="30"/>
        <v> </v>
      </c>
      <c r="I42" s="19" t="str">
        <f t="shared" si="30"/>
        <v> </v>
      </c>
      <c r="J42" s="19" t="str">
        <f t="shared" si="30"/>
        <v> </v>
      </c>
      <c r="K42" s="19" t="str">
        <f t="shared" si="30"/>
        <v> </v>
      </c>
      <c r="L42" s="19" t="str">
        <f t="shared" si="30"/>
        <v> </v>
      </c>
      <c r="M42" s="19" t="str">
        <f t="shared" si="30"/>
        <v> </v>
      </c>
      <c r="N42" s="19" t="str">
        <f t="shared" si="30"/>
        <v> </v>
      </c>
      <c r="O42" s="19" t="str">
        <f t="shared" si="30"/>
        <v> </v>
      </c>
      <c r="P42" s="19" t="str">
        <f t="shared" si="30"/>
        <v> </v>
      </c>
      <c r="Q42" s="19" t="str">
        <f t="shared" si="30"/>
        <v> </v>
      </c>
    </row>
    <row r="43" spans="1:17" ht="12" customHeight="1">
      <c r="A43" s="18" t="str">
        <f>IF(OR(E4=14,E4=12,E4=16,E4=18,E4=20,E4=22,E4=24,E4=28,E4=30,E4=54,E4=60)," ",E4)</f>
        <v> </v>
      </c>
      <c r="B43" s="17" t="str">
        <f>IF(OR(E4=14,E4=12,E4=16,E4=18,E4=20,E4=22,E4=24,E4=28,E4=30,E4=54,E4=60)," ","X")</f>
        <v> </v>
      </c>
      <c r="C43" s="18" t="str">
        <f>IF(OR(E4=12,E4=14,E4=16,E4=54,E4=60,E4=18,E4=20,E4=22,E4=24,E4=28,E4=30)," ",IF(OR(A41=36,A41=42,A41=48),C42+2))</f>
        <v> </v>
      </c>
      <c r="D43" s="15"/>
      <c r="E43" s="19" t="str">
        <f aca="true" t="shared" si="31" ref="E43:Q43">IF(OR(E4=12,E4=14,E4=16,E4=18,E4=20,E4=22,E4=24,E4=28,E4=30,E4=54,E4=60)," ",IF(E4=36,121.47+((E8-5)*7.07),IF(E4=42,151.57+((E8-5)*9.62),IF(E4=48,189.41+((E8-5)*12.57)))))</f>
        <v> </v>
      </c>
      <c r="F43" s="19" t="str">
        <f t="shared" si="31"/>
        <v> </v>
      </c>
      <c r="G43" s="19" t="str">
        <f t="shared" si="31"/>
        <v> </v>
      </c>
      <c r="H43" s="19" t="str">
        <f t="shared" si="31"/>
        <v> </v>
      </c>
      <c r="I43" s="19" t="str">
        <f t="shared" si="31"/>
        <v> </v>
      </c>
      <c r="J43" s="19" t="str">
        <f t="shared" si="31"/>
        <v> </v>
      </c>
      <c r="K43" s="19" t="str">
        <f t="shared" si="31"/>
        <v> </v>
      </c>
      <c r="L43" s="19" t="str">
        <f t="shared" si="31"/>
        <v> </v>
      </c>
      <c r="M43" s="19" t="str">
        <f t="shared" si="31"/>
        <v> </v>
      </c>
      <c r="N43" s="19" t="str">
        <f t="shared" si="31"/>
        <v> </v>
      </c>
      <c r="O43" s="19" t="str">
        <f t="shared" si="31"/>
        <v> </v>
      </c>
      <c r="P43" s="19" t="str">
        <f t="shared" si="31"/>
        <v> </v>
      </c>
      <c r="Q43" s="19" t="str">
        <f t="shared" si="31"/>
        <v> </v>
      </c>
    </row>
    <row r="44" spans="1:17" ht="12" customHeight="1">
      <c r="A44" s="18" t="str">
        <f>IF(OR(E4=14,E4=12,E4=16,E4=18,E4=20,E4=22,E4=24,E4=28,E4=30,E4=54,E4=60)," ",E4)</f>
        <v> </v>
      </c>
      <c r="B44" s="17" t="str">
        <f>IF(OR(E4=14,E4=12,E4=16,E4=18,E4=20,E4=22,E4=24,E4=28,E4=30,E4=54,E4=60)," ","X")</f>
        <v> </v>
      </c>
      <c r="C44" s="18" t="str">
        <f>IF(OR(E4=12,E4=14,E4=16,E4=54,E4=60,E4=18,E4=20,E4=22,E4=24,E4=28,E4=30)," ",IF(OR(A41=36,A41=42,A41=48),C43+2))</f>
        <v> </v>
      </c>
      <c r="D44" s="15"/>
      <c r="E44" s="19" t="str">
        <f aca="true" t="shared" si="32" ref="E44:Q44">IF(OR(E4=12,E4=14,E4=16,E4=18,E4=20,E4=22,E4=24,E4=28,E4=30,E4=54,E4=60)," ",IF(E4=36,124.94+((E8-5)*7.07),IF(E4=42,155.67+((E8-5)*9.62),IF(E4=48,194.3+((E8-5)*12.57)))))</f>
        <v> </v>
      </c>
      <c r="F44" s="19" t="str">
        <f t="shared" si="32"/>
        <v> </v>
      </c>
      <c r="G44" s="19" t="str">
        <f t="shared" si="32"/>
        <v> </v>
      </c>
      <c r="H44" s="19" t="str">
        <f t="shared" si="32"/>
        <v> </v>
      </c>
      <c r="I44" s="19" t="str">
        <f t="shared" si="32"/>
        <v> </v>
      </c>
      <c r="J44" s="19" t="str">
        <f t="shared" si="32"/>
        <v> </v>
      </c>
      <c r="K44" s="19" t="str">
        <f t="shared" si="32"/>
        <v> </v>
      </c>
      <c r="L44" s="19" t="str">
        <f t="shared" si="32"/>
        <v> </v>
      </c>
      <c r="M44" s="19" t="str">
        <f t="shared" si="32"/>
        <v> </v>
      </c>
      <c r="N44" s="19" t="str">
        <f t="shared" si="32"/>
        <v> </v>
      </c>
      <c r="O44" s="19" t="str">
        <f t="shared" si="32"/>
        <v> </v>
      </c>
      <c r="P44" s="19" t="str">
        <f t="shared" si="32"/>
        <v> </v>
      </c>
      <c r="Q44" s="19" t="str">
        <f t="shared" si="32"/>
        <v> </v>
      </c>
    </row>
    <row r="45" spans="1:17" ht="12" customHeight="1">
      <c r="A45" s="18" t="str">
        <f>IF(OR(E4=14,E4=12,E4=16,E4=18,E4=20,E4=22,E4=24,E4=28,E4=30,E4=54,E4=60)," ",E4)</f>
        <v> </v>
      </c>
      <c r="B45" s="17" t="str">
        <f>IF(OR(E4=14,E4=12,E4=16,E4=18,E4=20,E4=22,E4=24,E4=28,E4=30,E4=54,E4=60)," ","X")</f>
        <v> </v>
      </c>
      <c r="C45" s="18" t="str">
        <f>IF(OR(E4=12,E4=14,E4=16,E4=54,E4=60,E4=18,E4=20,E4=22,E4=24,E4=28,E4=30)," ",IF(OR(A41=36,A41=42,A41=48),C44+2))</f>
        <v> </v>
      </c>
      <c r="D45" s="15"/>
      <c r="E45" s="19" t="str">
        <f aca="true" t="shared" si="33" ref="E45:Q45">IF(OR(E4=12,E4=14,E4=16,E4=18,E4=20,E4=22,E4=24,E4=28,E4=30,E4=54,E4=60)," ",IF(E4=36,128.44+((E8-5)*7.07),IF(E4=42,159.84+((E8-5)*9.62),IF(E4=48,199.23+((E8-5)*12.57)))))</f>
        <v> </v>
      </c>
      <c r="F45" s="19" t="str">
        <f t="shared" si="33"/>
        <v> </v>
      </c>
      <c r="G45" s="19" t="str">
        <f t="shared" si="33"/>
        <v> </v>
      </c>
      <c r="H45" s="19" t="str">
        <f t="shared" si="33"/>
        <v> </v>
      </c>
      <c r="I45" s="19" t="str">
        <f t="shared" si="33"/>
        <v> </v>
      </c>
      <c r="J45" s="19" t="str">
        <f t="shared" si="33"/>
        <v> </v>
      </c>
      <c r="K45" s="19" t="str">
        <f t="shared" si="33"/>
        <v> </v>
      </c>
      <c r="L45" s="19" t="str">
        <f t="shared" si="33"/>
        <v> </v>
      </c>
      <c r="M45" s="19" t="str">
        <f t="shared" si="33"/>
        <v> </v>
      </c>
      <c r="N45" s="19" t="str">
        <f t="shared" si="33"/>
        <v> </v>
      </c>
      <c r="O45" s="19" t="str">
        <f t="shared" si="33"/>
        <v> </v>
      </c>
      <c r="P45" s="19" t="str">
        <f t="shared" si="33"/>
        <v> </v>
      </c>
      <c r="Q45" s="19" t="str">
        <f t="shared" si="33"/>
        <v> </v>
      </c>
    </row>
    <row r="46" spans="1:17" ht="12" customHeight="1">
      <c r="A46" s="18" t="str">
        <f>IF(OR(E4=14,E4=12,E4=16,E4=18,E4=20,E4=22,E4=24,E4=28,E4=30,E4=36,E4=54,E4=60)," ",E4)</f>
        <v> </v>
      </c>
      <c r="B46" s="17" t="str">
        <f>IF(OR(E4=14,E4=12,E4=16,E4=18,E4=20,E4=22,E4=24,E4=28,E4=30,E4=36,E4=54,E4=60)," ","X")</f>
        <v> </v>
      </c>
      <c r="C46" s="18" t="str">
        <f>IF(OR(E4=12,E4=14,E4=16,E4=54,E4=60,E4=18,E4=20,E4=22,E4=24,E4=28,E4=30,E4=36)," ",IF(OR(A41=42,A41=48),C45+2))</f>
        <v> </v>
      </c>
      <c r="D46" s="15"/>
      <c r="E46" s="19" t="str">
        <f aca="true" t="shared" si="34" ref="E46:Q46">IF(OR(E4=12,E4=14,E4=16,E4=18,E4=20,E4=22,E4=24,E4=28,E4=30,E4=36,E4=54,E4=60)," ",IF(E4=42,164.07+((E8-5)*9.62),IF(E4=48,204.26+((E8-5)*12.57))))</f>
        <v> </v>
      </c>
      <c r="F46" s="19" t="str">
        <f t="shared" si="34"/>
        <v> </v>
      </c>
      <c r="G46" s="19" t="str">
        <f t="shared" si="34"/>
        <v> </v>
      </c>
      <c r="H46" s="19" t="str">
        <f t="shared" si="34"/>
        <v> </v>
      </c>
      <c r="I46" s="19" t="str">
        <f t="shared" si="34"/>
        <v> </v>
      </c>
      <c r="J46" s="19" t="str">
        <f t="shared" si="34"/>
        <v> </v>
      </c>
      <c r="K46" s="19" t="str">
        <f t="shared" si="34"/>
        <v> </v>
      </c>
      <c r="L46" s="19" t="str">
        <f t="shared" si="34"/>
        <v> </v>
      </c>
      <c r="M46" s="19" t="str">
        <f t="shared" si="34"/>
        <v> </v>
      </c>
      <c r="N46" s="19" t="str">
        <f t="shared" si="34"/>
        <v> </v>
      </c>
      <c r="O46" s="19" t="str">
        <f t="shared" si="34"/>
        <v> </v>
      </c>
      <c r="P46" s="19" t="str">
        <f t="shared" si="34"/>
        <v> </v>
      </c>
      <c r="Q46" s="19" t="str">
        <f t="shared" si="34"/>
        <v> </v>
      </c>
    </row>
    <row r="47" spans="1:17" ht="12" customHeight="1">
      <c r="A47" s="18" t="str">
        <f>IF(OR(E4=14,E4=12,E4=16,E4=18,E4=20,E4=22,E4=24,E4=28,E4=30,E4=36,E4=54,E4=60)," ",E4)</f>
        <v> </v>
      </c>
      <c r="B47" s="17" t="str">
        <f>IF(OR(E4=14,E4=12,E4=16,E4=18,E4=20,E4=22,E4=24,E4=28,E4=30,E4=36,E4=54,E4=60)," ","X")</f>
        <v> </v>
      </c>
      <c r="C47" s="18" t="str">
        <f>IF(OR(E4=12,E4=14,E4=16,E4=54,E4=60,E4=18,E4=20,E4=22,E4=24,E4=28,E4=30,E4=36)," ",IF(OR(A41=42,A41=48),C46+2))</f>
        <v> </v>
      </c>
      <c r="D47" s="15"/>
      <c r="E47" s="19" t="str">
        <f aca="true" t="shared" si="35" ref="E47:Q47">IF(OR(E4=12,E4=14,E4=16,E4=18,E4=20,E4=22,E4=24,E4=28,E4=30,E4=36,E4=54,E4=60)," ",IF(E4=42,168.38+((E8-5)*9.62),IF(E4=48,209.38+((E8-5)*12.57))))</f>
        <v> </v>
      </c>
      <c r="F47" s="19" t="str">
        <f t="shared" si="35"/>
        <v> </v>
      </c>
      <c r="G47" s="19" t="str">
        <f t="shared" si="35"/>
        <v> </v>
      </c>
      <c r="H47" s="19" t="str">
        <f t="shared" si="35"/>
        <v> </v>
      </c>
      <c r="I47" s="19" t="str">
        <f t="shared" si="35"/>
        <v> </v>
      </c>
      <c r="J47" s="19" t="str">
        <f t="shared" si="35"/>
        <v> </v>
      </c>
      <c r="K47" s="19" t="str">
        <f t="shared" si="35"/>
        <v> </v>
      </c>
      <c r="L47" s="19" t="str">
        <f t="shared" si="35"/>
        <v> </v>
      </c>
      <c r="M47" s="19" t="str">
        <f t="shared" si="35"/>
        <v> </v>
      </c>
      <c r="N47" s="19" t="str">
        <f t="shared" si="35"/>
        <v> </v>
      </c>
      <c r="O47" s="19" t="str">
        <f t="shared" si="35"/>
        <v> </v>
      </c>
      <c r="P47" s="19" t="str">
        <f t="shared" si="35"/>
        <v> </v>
      </c>
      <c r="Q47" s="19" t="str">
        <f t="shared" si="35"/>
        <v> </v>
      </c>
    </row>
    <row r="48" spans="1:17" ht="12" customHeight="1">
      <c r="A48" s="18" t="str">
        <f>IF(OR(E4=14,E4=12,E4=16,E4=18,E4=20,E4=22,E4=24,E4=28,E4=30,E4=36,E4=54,E4=60)," ",E4)</f>
        <v> </v>
      </c>
      <c r="B48" s="17" t="str">
        <f>IF(OR(E4=14,E4=12,E4=16,E4=18,E4=20,E4=22,E4=24,E4=28,E4=30,E4=36,E4=54,E4=60)," ","X")</f>
        <v> </v>
      </c>
      <c r="C48" s="18" t="str">
        <f>IF(OR(E4=12,E4=14,E4=16,E4=54,E4=60,E4=18,E4=20,E4=22,E4=24,E4=28,E4=30,E4=36)," ",IF(OR(A41=42,A41=48),C47+2))</f>
        <v> </v>
      </c>
      <c r="D48" s="15"/>
      <c r="E48" s="19" t="str">
        <f aca="true" t="shared" si="36" ref="E48:Q48">IF(OR(E4=12,E4=14,E4=16,E4=18,E4=20,E4=22,E4=24,E4=28,E4=30,E4=36,E4=54,E4=60)," ",IF(E4=42,172.72+((E8-5)*9.62),IF(E4=48,214.52+((E8-5)*12.57))))</f>
        <v> </v>
      </c>
      <c r="F48" s="19" t="str">
        <f t="shared" si="36"/>
        <v> </v>
      </c>
      <c r="G48" s="19" t="str">
        <f t="shared" si="36"/>
        <v> </v>
      </c>
      <c r="H48" s="19" t="str">
        <f t="shared" si="36"/>
        <v> </v>
      </c>
      <c r="I48" s="19" t="str">
        <f t="shared" si="36"/>
        <v> </v>
      </c>
      <c r="J48" s="19" t="str">
        <f t="shared" si="36"/>
        <v> </v>
      </c>
      <c r="K48" s="19" t="str">
        <f t="shared" si="36"/>
        <v> </v>
      </c>
      <c r="L48" s="19" t="str">
        <f t="shared" si="36"/>
        <v> </v>
      </c>
      <c r="M48" s="19" t="str">
        <f t="shared" si="36"/>
        <v> </v>
      </c>
      <c r="N48" s="19" t="str">
        <f t="shared" si="36"/>
        <v> </v>
      </c>
      <c r="O48" s="19" t="str">
        <f t="shared" si="36"/>
        <v> </v>
      </c>
      <c r="P48" s="19" t="str">
        <f t="shared" si="36"/>
        <v> </v>
      </c>
      <c r="Q48" s="19" t="str">
        <f t="shared" si="36"/>
        <v> </v>
      </c>
    </row>
    <row r="49" spans="1:17" ht="12" customHeight="1">
      <c r="A49" s="18" t="str">
        <f>IF(OR(E4=14,E4=12,E4=16,E4=18,E4=20,E4=22,E4=24,E4=28,E4=30,E4=36,E4=54,E4=60)," ",E4)</f>
        <v> </v>
      </c>
      <c r="B49" s="17" t="str">
        <f>IF(OR(E4=14,E4=12,E4=16,E4=18,E4=20,E4=22,E4=24,E4=28,E4=30,E4=36,E4=54,E4=60)," ","X")</f>
        <v> </v>
      </c>
      <c r="C49" s="18" t="str">
        <f>IF(OR(E4=12,E4=14,E4=16,E4=54,E4=60,E4=18,E4=20,E4=22,E4=24,E4=28,E4=30,E4=36)," ",IF(OR(A41=42,A41=48),C48+2))</f>
        <v> </v>
      </c>
      <c r="D49" s="15"/>
      <c r="E49" s="19" t="str">
        <f aca="true" t="shared" si="37" ref="E49:Q49">IF(OR(E4=12,E4=14,E4=16,E4=18,E4=20,E4=22,E4=24,E4=28,E4=30,E4=36,E4=54,E4=60)," ",IF(E4=42,177.15+((E8-5)*9.62),IF(E4=48,219.77+((E8-5)*12.57))))</f>
        <v> </v>
      </c>
      <c r="F49" s="19" t="str">
        <f t="shared" si="37"/>
        <v> </v>
      </c>
      <c r="G49" s="19" t="str">
        <f t="shared" si="37"/>
        <v> </v>
      </c>
      <c r="H49" s="19" t="str">
        <f t="shared" si="37"/>
        <v> </v>
      </c>
      <c r="I49" s="19" t="str">
        <f t="shared" si="37"/>
        <v> </v>
      </c>
      <c r="J49" s="19" t="str">
        <f t="shared" si="37"/>
        <v> </v>
      </c>
      <c r="K49" s="19" t="str">
        <f t="shared" si="37"/>
        <v> </v>
      </c>
      <c r="L49" s="19" t="str">
        <f t="shared" si="37"/>
        <v> </v>
      </c>
      <c r="M49" s="19" t="str">
        <f t="shared" si="37"/>
        <v> </v>
      </c>
      <c r="N49" s="19" t="str">
        <f t="shared" si="37"/>
        <v> </v>
      </c>
      <c r="O49" s="19" t="str">
        <f t="shared" si="37"/>
        <v> </v>
      </c>
      <c r="P49" s="19" t="str">
        <f t="shared" si="37"/>
        <v> </v>
      </c>
      <c r="Q49" s="19" t="str">
        <f t="shared" si="37"/>
        <v> </v>
      </c>
    </row>
    <row r="50" spans="1:17" ht="12" customHeight="1">
      <c r="A50" s="18" t="str">
        <f>IF(OR(E4=14,E4=12,E4=16,E4=18,E4=20,E4=22,E4=24,E4=28,E4=30,E4=36,E4=54,E4=60)," ",E4)</f>
        <v> </v>
      </c>
      <c r="B50" s="17" t="str">
        <f>IF(OR(E4=14,E4=12,E4=16,E4=18,E4=20,E4=22,E4=24,E4=28,E4=30,E4=36,E4=54,E4=60)," ","X")</f>
        <v> </v>
      </c>
      <c r="C50" s="18" t="str">
        <f>IF(OR(E4=12,E4=14,E4=16,E4=54,E4=60,E4=18,E4=20,E4=22,E4=24,E4=28,E4=30,E4=36)," ",IF(OR(A41=42,A41=48),C49+2))</f>
        <v> </v>
      </c>
      <c r="D50" s="15"/>
      <c r="E50" s="19" t="str">
        <f aca="true" t="shared" si="38" ref="E50:Q50">IF(OR(E4=12,E4=14,E4=16,E4=18,E4=20,E4=22,E4=24,E4=28,E4=30,E4=36,E4=54,E4=60)," ",IF(E4=42,181.67+((E8-5)*9.62),IF(E4=48,225.11+((E8-5)*12.57))))</f>
        <v> </v>
      </c>
      <c r="F50" s="19" t="str">
        <f t="shared" si="38"/>
        <v> </v>
      </c>
      <c r="G50" s="19" t="str">
        <f t="shared" si="38"/>
        <v> </v>
      </c>
      <c r="H50" s="19" t="str">
        <f t="shared" si="38"/>
        <v> </v>
      </c>
      <c r="I50" s="19" t="str">
        <f t="shared" si="38"/>
        <v> </v>
      </c>
      <c r="J50" s="19" t="str">
        <f t="shared" si="38"/>
        <v> </v>
      </c>
      <c r="K50" s="19" t="str">
        <f t="shared" si="38"/>
        <v> </v>
      </c>
      <c r="L50" s="19" t="str">
        <f t="shared" si="38"/>
        <v> </v>
      </c>
      <c r="M50" s="19" t="str">
        <f t="shared" si="38"/>
        <v> </v>
      </c>
      <c r="N50" s="19" t="str">
        <f t="shared" si="38"/>
        <v> </v>
      </c>
      <c r="O50" s="19" t="str">
        <f t="shared" si="38"/>
        <v> </v>
      </c>
      <c r="P50" s="19" t="str">
        <f t="shared" si="38"/>
        <v> </v>
      </c>
      <c r="Q50" s="19" t="str">
        <f t="shared" si="38"/>
        <v> </v>
      </c>
    </row>
    <row r="51" spans="1:17" ht="12" customHeight="1">
      <c r="A51" s="18" t="str">
        <f>IF(OR(E4=14,E4=12,E4=16,E4=18,E4=20,E4=22,E4=24,E4=28,E4=30,E4=36,E4=54,E4=60)," ",E4)</f>
        <v> </v>
      </c>
      <c r="B51" s="17" t="str">
        <f>IF(OR(E4=14,E4=12,E4=16,E4=18,E4=20,E4=22,E4=24,E4=28,E4=30,E4=36,E4=54,E4=60)," ","X")</f>
        <v> </v>
      </c>
      <c r="C51" s="18" t="str">
        <f>IF(OR(E4=12,E4=14,E4=16,E4=54,E4=60,E4=18,E4=20,E4=22,E4=24,E4=28,E4=30,E4=36)," ",IF(OR(A41=42,A41=48),C50+2))</f>
        <v> </v>
      </c>
      <c r="D51" s="15"/>
      <c r="E51" s="19" t="str">
        <f aca="true" t="shared" si="39" ref="E51:Q51">IF(OR(E4=12,E4=14,E4=16,E4=18,E4=20,E4=22,E4=24,E4=28,E4=30,E4=36,E4=54,E4=60)," ",IF(E4=42,186.2+((E8-5)*9.62),IF(E4=48,230.47+((E8-5)*12.57))))</f>
        <v> </v>
      </c>
      <c r="F51" s="19" t="str">
        <f t="shared" si="39"/>
        <v> </v>
      </c>
      <c r="G51" s="19" t="str">
        <f t="shared" si="39"/>
        <v> </v>
      </c>
      <c r="H51" s="19" t="str">
        <f t="shared" si="39"/>
        <v> </v>
      </c>
      <c r="I51" s="19" t="str">
        <f t="shared" si="39"/>
        <v> </v>
      </c>
      <c r="J51" s="19" t="str">
        <f t="shared" si="39"/>
        <v> </v>
      </c>
      <c r="K51" s="19" t="str">
        <f t="shared" si="39"/>
        <v> </v>
      </c>
      <c r="L51" s="19" t="str">
        <f t="shared" si="39"/>
        <v> </v>
      </c>
      <c r="M51" s="19" t="str">
        <f t="shared" si="39"/>
        <v> </v>
      </c>
      <c r="N51" s="19" t="str">
        <f t="shared" si="39"/>
        <v> </v>
      </c>
      <c r="O51" s="19" t="str">
        <f t="shared" si="39"/>
        <v> </v>
      </c>
      <c r="P51" s="19" t="str">
        <f t="shared" si="39"/>
        <v> </v>
      </c>
      <c r="Q51" s="19" t="str">
        <f t="shared" si="39"/>
        <v> </v>
      </c>
    </row>
    <row r="52" spans="1:17" ht="12" customHeight="1">
      <c r="A52" s="18" t="str">
        <f>IF(OR(E4=14,E4=12,E4=16,E4=18,E4=20,E4=22,E4=24,E4=28,E4=30,E4=36,E4=54,E4=60)," ",E4)</f>
        <v> </v>
      </c>
      <c r="B52" s="17" t="str">
        <f>IF(OR(E4=14,E4=12,E4=16,E4=18,E4=20,E4=22,E4=24,E4=28,E4=30,E4=36,E4=54,E4=60)," ","X")</f>
        <v> </v>
      </c>
      <c r="C52" s="18" t="str">
        <f>IF(OR(E4=12,E4=14,E4=16,E4=54,E4=60,E4=18,E4=20,E4=22,E4=24,E4=28,E4=30,E4=36)," ",IF(OR(A41=42,A41=48),C51+2))</f>
        <v> </v>
      </c>
      <c r="D52" s="15"/>
      <c r="E52" s="19" t="str">
        <f aca="true" t="shared" si="40" ref="E52:Q52">IF(OR(E4=12,E4=14,E4=16,E4=18,E4=20,E4=22,E4=24,E4=28,E4=30,E4=36,E4=54,E4=60)," ",IF(E4=42,190.83+((E8-5)*9.62),IF(E4=48,235.94+((E8-5)*12.57))))</f>
        <v> </v>
      </c>
      <c r="F52" s="19" t="str">
        <f t="shared" si="40"/>
        <v> </v>
      </c>
      <c r="G52" s="19" t="str">
        <f t="shared" si="40"/>
        <v> </v>
      </c>
      <c r="H52" s="19" t="str">
        <f t="shared" si="40"/>
        <v> </v>
      </c>
      <c r="I52" s="19" t="str">
        <f t="shared" si="40"/>
        <v> </v>
      </c>
      <c r="J52" s="19" t="str">
        <f t="shared" si="40"/>
        <v> </v>
      </c>
      <c r="K52" s="19" t="str">
        <f t="shared" si="40"/>
        <v> </v>
      </c>
      <c r="L52" s="19" t="str">
        <f t="shared" si="40"/>
        <v> </v>
      </c>
      <c r="M52" s="19" t="str">
        <f t="shared" si="40"/>
        <v> </v>
      </c>
      <c r="N52" s="19" t="str">
        <f t="shared" si="40"/>
        <v> </v>
      </c>
      <c r="O52" s="19" t="str">
        <f t="shared" si="40"/>
        <v> </v>
      </c>
      <c r="P52" s="19" t="str">
        <f t="shared" si="40"/>
        <v> </v>
      </c>
      <c r="Q52" s="19" t="str">
        <f t="shared" si="40"/>
        <v> </v>
      </c>
    </row>
    <row r="53" spans="1:17" ht="12" customHeight="1">
      <c r="A53" s="18" t="str">
        <f>IF(OR(E4=14,E4=12,E4=16,E4=18,E4=20,E4=22,E4=24,E4=28,E4=30,E4=36,E4=42,E4=54,E4=60)," ",E4)</f>
        <v> </v>
      </c>
      <c r="B53" s="17" t="str">
        <f>IF(OR(E4=14,E4=12,E4=16,E4=18,E4=20,E4=22,E4=24,E4=28,E4=30,E4=36,E4=42,E4=54,E4=60)," ","X")</f>
        <v> </v>
      </c>
      <c r="C53" s="18" t="str">
        <f>IF(OR(E4=12,E4=14,E4=16,E4=54,E4=60,E4=18,E4=20,E4=22,E4=24,E4=28,E4=30,E4=36,E4=42)," ",IF(A41=48,C52+2))</f>
        <v> </v>
      </c>
      <c r="D53" s="15"/>
      <c r="E53" s="19" t="str">
        <f aca="true" t="shared" si="41" ref="E53:Q53">IF(OR(E4=12,E4=14,E4=16,E4=18,E4=20,E4=22,E4=24,E4=28,E4=30,E4=36,E4=42,E4=54,E4=60)," ",IF(E4=48,241.49+((E8-5)*12.57)))</f>
        <v> </v>
      </c>
      <c r="F53" s="19" t="str">
        <f t="shared" si="41"/>
        <v> </v>
      </c>
      <c r="G53" s="19" t="str">
        <f t="shared" si="41"/>
        <v> </v>
      </c>
      <c r="H53" s="19" t="str">
        <f t="shared" si="41"/>
        <v> </v>
      </c>
      <c r="I53" s="19" t="str">
        <f t="shared" si="41"/>
        <v> </v>
      </c>
      <c r="J53" s="19" t="str">
        <f t="shared" si="41"/>
        <v> </v>
      </c>
      <c r="K53" s="19" t="str">
        <f t="shared" si="41"/>
        <v> </v>
      </c>
      <c r="L53" s="19" t="str">
        <f t="shared" si="41"/>
        <v> </v>
      </c>
      <c r="M53" s="19" t="str">
        <f t="shared" si="41"/>
        <v> </v>
      </c>
      <c r="N53" s="19" t="str">
        <f t="shared" si="41"/>
        <v> </v>
      </c>
      <c r="O53" s="19" t="str">
        <f t="shared" si="41"/>
        <v> </v>
      </c>
      <c r="P53" s="19" t="str">
        <f t="shared" si="41"/>
        <v> </v>
      </c>
      <c r="Q53" s="19" t="str">
        <f t="shared" si="41"/>
        <v> </v>
      </c>
    </row>
    <row r="54" spans="1:17" ht="12" customHeight="1">
      <c r="A54" s="18" t="str">
        <f>IF(OR(E4=14,E4=12,E4=16,E4=18,E4=20,E4=22,E4=24,E4=28,E4=30,E4=36,E4=42,E4=54,E4=60)," ",E4)</f>
        <v> </v>
      </c>
      <c r="B54" s="17" t="str">
        <f>IF(OR(E4=14,E4=12,E4=16,E4=18,E4=20,E4=22,E4=24,E4=28,E4=30,E4=36,E4=42,E4=54,E4=60)," ","X")</f>
        <v> </v>
      </c>
      <c r="C54" s="18" t="str">
        <f>IF(OR(E4=12,E4=14,E4=16,E4=54,E4=60,E4=18,E4=20,E4=22,E4=24,E4=28,E4=30,E4=36,E4=42)," ",IF(A41=48,C53+2))</f>
        <v> </v>
      </c>
      <c r="D54" s="15"/>
      <c r="E54" s="19" t="str">
        <f aca="true" t="shared" si="42" ref="E54:Q54">IF(OR(E4=12,E4=14,E4=16,E4=18,E4=20,E4=22,E4=24,E4=28,E4=30,E4=36,E4=42,E4=54,E4=60)," ",IF(E4=48,247.07+((E8-5)*12.57)))</f>
        <v> </v>
      </c>
      <c r="F54" s="19" t="str">
        <f t="shared" si="42"/>
        <v> </v>
      </c>
      <c r="G54" s="19" t="str">
        <f t="shared" si="42"/>
        <v> </v>
      </c>
      <c r="H54" s="19" t="str">
        <f t="shared" si="42"/>
        <v> </v>
      </c>
      <c r="I54" s="19" t="str">
        <f t="shared" si="42"/>
        <v> </v>
      </c>
      <c r="J54" s="19" t="str">
        <f t="shared" si="42"/>
        <v> </v>
      </c>
      <c r="K54" s="19" t="str">
        <f t="shared" si="42"/>
        <v> </v>
      </c>
      <c r="L54" s="19" t="str">
        <f t="shared" si="42"/>
        <v> </v>
      </c>
      <c r="M54" s="19" t="str">
        <f t="shared" si="42"/>
        <v> </v>
      </c>
      <c r="N54" s="19" t="str">
        <f t="shared" si="42"/>
        <v> </v>
      </c>
      <c r="O54" s="19" t="str">
        <f t="shared" si="42"/>
        <v> </v>
      </c>
      <c r="P54" s="19" t="str">
        <f t="shared" si="42"/>
        <v> </v>
      </c>
      <c r="Q54" s="19" t="str">
        <f t="shared" si="42"/>
        <v> </v>
      </c>
    </row>
    <row r="55" spans="1:17" ht="12" customHeight="1">
      <c r="A55" s="18" t="str">
        <f>IF(OR(E4=14,E4=12,E4=16,E4=18,E4=20,E4=22,E4=24,E4=28,E4=30,E4=36,E4=42,E4=54,E4=60)," ",E4)</f>
        <v> </v>
      </c>
      <c r="B55" s="17" t="str">
        <f>IF(OR(E4=14,E4=12,E4=16,E4=18,E4=20,E4=22,E4=24,E4=28,E4=30,E4=36,E4=42,E4=54,E4=60)," ","X")</f>
        <v> </v>
      </c>
      <c r="C55" s="18" t="str">
        <f>IF(OR(E4=12,E4=14,E4=16,E4=54,E4=60,E4=18,E4=20,E4=22,E4=24,E4=28,E4=30,E4=36,E4=42)," ",IF(A41=48,C54+2))</f>
        <v> </v>
      </c>
      <c r="D55" s="15"/>
      <c r="E55" s="19" t="str">
        <f aca="true" t="shared" si="43" ref="E55:Q55">IF(OR(E4=12,E4=14,E4=16,E4=18,E4=20,E4=22,E4=24,E4=28,E4=30,E4=36,E4=42,E4=54,E4=60)," ",IF(E4=48,252.76+((E8-5)*12.57)))</f>
        <v> </v>
      </c>
      <c r="F55" s="19" t="str">
        <f t="shared" si="43"/>
        <v> </v>
      </c>
      <c r="G55" s="19" t="str">
        <f t="shared" si="43"/>
        <v> </v>
      </c>
      <c r="H55" s="19" t="str">
        <f t="shared" si="43"/>
        <v> </v>
      </c>
      <c r="I55" s="19" t="str">
        <f t="shared" si="43"/>
        <v> </v>
      </c>
      <c r="J55" s="19" t="str">
        <f t="shared" si="43"/>
        <v> </v>
      </c>
      <c r="K55" s="19" t="str">
        <f t="shared" si="43"/>
        <v> </v>
      </c>
      <c r="L55" s="19" t="str">
        <f t="shared" si="43"/>
        <v> </v>
      </c>
      <c r="M55" s="19" t="str">
        <f t="shared" si="43"/>
        <v> </v>
      </c>
      <c r="N55" s="19" t="str">
        <f t="shared" si="43"/>
        <v> </v>
      </c>
      <c r="O55" s="19" t="str">
        <f t="shared" si="43"/>
        <v> </v>
      </c>
      <c r="P55" s="19" t="str">
        <f t="shared" si="43"/>
        <v> </v>
      </c>
      <c r="Q55" s="19" t="str">
        <f t="shared" si="43"/>
        <v> </v>
      </c>
    </row>
    <row r="56" spans="1:17" ht="12" customHeight="1">
      <c r="A56" s="18" t="str">
        <f>IF(OR(E4=14,E4=12,E4=16,E4=18,E4=20,E4=22,E4=24,E4=28,E4=30,E4=36,E4=42,E4=54,E4=60)," ",E4)</f>
        <v> </v>
      </c>
      <c r="B56" s="17" t="str">
        <f>IF(OR(E4=14,E4=12,E4=16,E4=18,E4=20,E4=22,E4=24,E4=28,E4=30,E4=36,E4=42,E4=54,E4=60)," ","X")</f>
        <v> </v>
      </c>
      <c r="C56" s="18" t="str">
        <f>IF(OR(E4=12,E4=14,E4=16,E4=54,E4=60,E4=18,E4=20,E4=22,E4=24,E4=28,E4=30,E4=36,E4=42)," ",IF(A41=48,C55+2))</f>
        <v> </v>
      </c>
      <c r="D56" s="15"/>
      <c r="E56" s="19" t="str">
        <f aca="true" t="shared" si="44" ref="E56:Q56">IF(OR(E4=12,E4=14,E4=16,E4=18,E4=20,E4=22,E4=24,E4=28,E4=30,E4=36,E4=42,E4=54,E4=60)," ",IF(E4=48,258.53+((E8-5)*12.57)))</f>
        <v> </v>
      </c>
      <c r="F56" s="19" t="str">
        <f t="shared" si="44"/>
        <v> </v>
      </c>
      <c r="G56" s="19" t="str">
        <f t="shared" si="44"/>
        <v> </v>
      </c>
      <c r="H56" s="19" t="str">
        <f t="shared" si="44"/>
        <v> </v>
      </c>
      <c r="I56" s="19" t="str">
        <f t="shared" si="44"/>
        <v> </v>
      </c>
      <c r="J56" s="19" t="str">
        <f t="shared" si="44"/>
        <v> </v>
      </c>
      <c r="K56" s="19" t="str">
        <f t="shared" si="44"/>
        <v> </v>
      </c>
      <c r="L56" s="19" t="str">
        <f t="shared" si="44"/>
        <v> </v>
      </c>
      <c r="M56" s="19" t="str">
        <f t="shared" si="44"/>
        <v> </v>
      </c>
      <c r="N56" s="19" t="str">
        <f t="shared" si="44"/>
        <v> </v>
      </c>
      <c r="O56" s="19" t="str">
        <f t="shared" si="44"/>
        <v> </v>
      </c>
      <c r="P56" s="19" t="str">
        <f t="shared" si="44"/>
        <v> </v>
      </c>
      <c r="Q56" s="19" t="str">
        <f t="shared" si="44"/>
        <v> </v>
      </c>
    </row>
    <row r="57" spans="1:17" ht="12" customHeight="1">
      <c r="A57" s="18" t="str">
        <f>IF(OR(E4=14,E4=12,E4=16,E4=18,E4=20,E4=22,E4=24,E4=28,E4=30,E4=36,E4=42,E4=54,E4=60)," ",E4)</f>
        <v> </v>
      </c>
      <c r="B57" s="17" t="str">
        <f>IF(OR(E4=14,E4=12,E4=16,E4=18,E4=20,E4=22,E4=24,E4=28,E4=30,E4=36,E4=42,E4=54,E4=60)," ","X")</f>
        <v> </v>
      </c>
      <c r="C57" s="18" t="str">
        <f>IF(OR(E4=12,E4=14,E4=16,E4=54,E4=60,E4=18,E4=20,E4=22,E4=24,E4=28,E4=30,E4=36,E4=42)," ",IF(A41=48,C56+2))</f>
        <v> </v>
      </c>
      <c r="D57" s="15"/>
      <c r="E57" s="19" t="str">
        <f aca="true" t="shared" si="45" ref="E57:Q57">IF(OR(E4=12,E4=14,E4=16,E4=18,E4=20,E4=22,E4=24,E4=28,E4=30,E4=36,E4=42,E4=54,E4=60)," ",IF(E4=48,264.32+((E8-5)*12.57)))</f>
        <v> </v>
      </c>
      <c r="F57" s="19" t="str">
        <f t="shared" si="45"/>
        <v> </v>
      </c>
      <c r="G57" s="19" t="str">
        <f t="shared" si="45"/>
        <v> </v>
      </c>
      <c r="H57" s="19" t="str">
        <f t="shared" si="45"/>
        <v> </v>
      </c>
      <c r="I57" s="19" t="str">
        <f t="shared" si="45"/>
        <v> </v>
      </c>
      <c r="J57" s="19" t="str">
        <f t="shared" si="45"/>
        <v> </v>
      </c>
      <c r="K57" s="19" t="str">
        <f t="shared" si="45"/>
        <v> </v>
      </c>
      <c r="L57" s="19" t="str">
        <f t="shared" si="45"/>
        <v> </v>
      </c>
      <c r="M57" s="19" t="str">
        <f t="shared" si="45"/>
        <v> </v>
      </c>
      <c r="N57" s="19" t="str">
        <f t="shared" si="45"/>
        <v> </v>
      </c>
      <c r="O57" s="19" t="str">
        <f t="shared" si="45"/>
        <v> </v>
      </c>
      <c r="P57" s="19" t="str">
        <f t="shared" si="45"/>
        <v> </v>
      </c>
      <c r="Q57" s="19" t="str">
        <f t="shared" si="45"/>
        <v> </v>
      </c>
    </row>
    <row r="58" spans="1:17" ht="12" customHeight="1">
      <c r="A58" s="18" t="str">
        <f>IF(OR(E4=14,E4=12,E4=16,E4=18,E4=20,E4=22,E4=24,E4=28,E4=30,E4=36,E4=42,E4=54,E4=60)," ",E4)</f>
        <v> </v>
      </c>
      <c r="B58" s="17" t="str">
        <f>IF(OR(E4=14,E4=12,E4=16,E4=18,E4=20,E4=22,E4=24,E4=28,E4=30,E4=36,E4=42,E4=54,E4=60)," ","X")</f>
        <v> </v>
      </c>
      <c r="C58" s="18" t="str">
        <f>IF(OR(E4=12,E4=14,E4=16,E4=54,E4=60,E4=18,E4=20,E4=22,E4=24,E4=28,E4=30,E4=36,E4=42)," ",IF(A41=48,C57+2))</f>
        <v> </v>
      </c>
      <c r="D58" s="15"/>
      <c r="E58" s="19" t="str">
        <f aca="true" t="shared" si="46" ref="E58:Q58">IF(OR(E4=12,E4=14,E4=16,E4=18,E4=20,E4=22,E4=24,E4=28,E4=30,E4=36,E4=42,E4=54,E4=60)," ",IF(E4=48,270.02+((E8-5)*12.57)))</f>
        <v> </v>
      </c>
      <c r="F58" s="19" t="str">
        <f t="shared" si="46"/>
        <v> </v>
      </c>
      <c r="G58" s="19" t="str">
        <f t="shared" si="46"/>
        <v> </v>
      </c>
      <c r="H58" s="19" t="str">
        <f t="shared" si="46"/>
        <v> </v>
      </c>
      <c r="I58" s="19" t="str">
        <f t="shared" si="46"/>
        <v> </v>
      </c>
      <c r="J58" s="19" t="str">
        <f t="shared" si="46"/>
        <v> </v>
      </c>
      <c r="K58" s="19" t="str">
        <f t="shared" si="46"/>
        <v> </v>
      </c>
      <c r="L58" s="19" t="str">
        <f t="shared" si="46"/>
        <v> </v>
      </c>
      <c r="M58" s="19" t="str">
        <f t="shared" si="46"/>
        <v> </v>
      </c>
      <c r="N58" s="19" t="str">
        <f t="shared" si="46"/>
        <v> </v>
      </c>
      <c r="O58" s="19" t="str">
        <f t="shared" si="46"/>
        <v> </v>
      </c>
      <c r="P58" s="19" t="str">
        <f t="shared" si="46"/>
        <v> </v>
      </c>
      <c r="Q58" s="19" t="str">
        <f t="shared" si="46"/>
        <v> </v>
      </c>
    </row>
  </sheetData>
  <sheetProtection/>
  <mergeCells count="4">
    <mergeCell ref="A9:C9"/>
    <mergeCell ref="A5:Q5"/>
    <mergeCell ref="A1:Q1"/>
    <mergeCell ref="A2:Q2"/>
  </mergeCells>
  <printOptions/>
  <pageMargins left="0.75" right="0.75" top="1" bottom="1" header="0.5" footer="0.5"/>
  <pageSetup fitToHeight="0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Batten Drilling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abby</dc:creator>
  <cp:keywords/>
  <dc:description/>
  <cp:lastModifiedBy>Heather Rasco</cp:lastModifiedBy>
  <cp:lastPrinted>2004-06-18T02:44:26Z</cp:lastPrinted>
  <dcterms:created xsi:type="dcterms:W3CDTF">2004-06-14T17:29:11Z</dcterms:created>
  <dcterms:modified xsi:type="dcterms:W3CDTF">2015-07-28T16:01:54Z</dcterms:modified>
  <cp:category/>
  <cp:version/>
  <cp:contentType/>
  <cp:contentStatus/>
</cp:coreProperties>
</file>